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G:\1&amp;1_Server\berblinger2\"/>
    </mc:Choice>
  </mc:AlternateContent>
  <xr:revisionPtr revIDLastSave="0" documentId="13_ncr:1_{5E7F516A-DCBA-4BBA-8051-ED29BCE18519}" xr6:coauthVersionLast="47" xr6:coauthVersionMax="47" xr10:uidLastSave="{00000000-0000-0000-0000-000000000000}"/>
  <bookViews>
    <workbookView xWindow="11955" yWindow="0" windowWidth="27495" windowHeight="19335" tabRatio="435" xr2:uid="{00000000-000D-0000-FFFF-FFFF00000000}"/>
  </bookViews>
  <sheets>
    <sheet name="Tabelle1" sheetId="1" r:id="rId1"/>
  </sheets>
  <definedNames>
    <definedName name="_xlnm.Print_Area" localSheetId="0">Tabelle1!$A$1:$F$70</definedName>
    <definedName name="solver_cvg" localSheetId="0" hidden="1">0.001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Tabelle1!$C$27</definedName>
    <definedName name="solver_lin" localSheetId="0" hidden="1">2</definedName>
    <definedName name="solver_neg" localSheetId="0" hidden="1">2</definedName>
    <definedName name="solver_num" localSheetId="0" hidden="1">1</definedName>
    <definedName name="solver_nwt" localSheetId="0" hidden="1">1</definedName>
    <definedName name="solver_opt" localSheetId="0" hidden="1">Tabelle1!$C$12</definedName>
    <definedName name="solver_pre" localSheetId="0" hidden="1">0.000001</definedName>
    <definedName name="solver_rel1" localSheetId="0" hidden="1">1</definedName>
    <definedName name="solver_rhs1" localSheetId="0" hidden="1">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16" i="1"/>
  <c r="E8" i="1" s="1"/>
  <c r="C17" i="1"/>
  <c r="E18" i="1" s="1"/>
  <c r="C18" i="1"/>
  <c r="C20" i="1" s="1"/>
  <c r="E22" i="1"/>
  <c r="C23" i="1"/>
  <c r="E26" i="1"/>
  <c r="E29" i="1"/>
  <c r="E28" i="1" s="1"/>
  <c r="C39" i="1"/>
  <c r="E43" i="1"/>
  <c r="C44" i="1" s="1"/>
  <c r="E44" i="1"/>
  <c r="C50" i="1"/>
  <c r="C51" i="1"/>
  <c r="E51" i="1" s="1"/>
  <c r="E52" i="1" s="1"/>
  <c r="C46" i="1" l="1"/>
  <c r="C45" i="1"/>
  <c r="E45" i="1"/>
  <c r="E20" i="1"/>
  <c r="C21" i="1"/>
  <c r="E36" i="1"/>
  <c r="C36" i="1" s="1"/>
  <c r="E37" i="1" s="1"/>
  <c r="C37" i="1" s="1"/>
  <c r="C33" i="1"/>
  <c r="C48" i="1"/>
  <c r="C52" i="1"/>
  <c r="E41" i="1" l="1"/>
  <c r="E61" i="1" s="1"/>
  <c r="C34" i="1"/>
  <c r="C25" i="1"/>
  <c r="E21" i="1"/>
  <c r="C22" i="1" s="1"/>
  <c r="C40" i="1" s="1"/>
  <c r="C57" i="1"/>
  <c r="E48" i="1"/>
  <c r="E49" i="1" s="1"/>
  <c r="C49" i="1"/>
  <c r="C53" i="1"/>
  <c r="E46" i="1"/>
  <c r="E47" i="1" s="1"/>
  <c r="C47" i="1"/>
  <c r="C55" i="1"/>
  <c r="E53" i="1" l="1"/>
  <c r="E54" i="1" s="1"/>
  <c r="C54" i="1"/>
  <c r="E57" i="1"/>
  <c r="E58" i="1" s="1"/>
  <c r="C58" i="1"/>
  <c r="C56" i="1"/>
  <c r="E55" i="1"/>
  <c r="E56" i="1" s="1"/>
  <c r="E34" i="1"/>
  <c r="E65" i="1"/>
  <c r="E25" i="1"/>
  <c r="C28" i="1"/>
  <c r="E9" i="1" s="1"/>
  <c r="E39" i="1"/>
  <c r="E40" i="1" s="1"/>
  <c r="E67" i="1" l="1"/>
  <c r="C61" i="1" s="1"/>
  <c r="E66" i="1"/>
  <c r="C67" i="1" s="1"/>
  <c r="C12" i="1" s="1"/>
  <c r="E7" i="1"/>
  <c r="E33" i="1"/>
  <c r="E11" i="1" s="1"/>
  <c r="C64" i="1" l="1"/>
  <c r="E62" i="1"/>
  <c r="C68" i="1"/>
  <c r="C8" i="1" s="1"/>
  <c r="C11" i="1" s="1"/>
  <c r="C66" i="1"/>
  <c r="C7" i="1" s="1"/>
  <c r="E63" i="1" l="1"/>
  <c r="C63" i="1" s="1"/>
  <c r="C62" i="1"/>
  <c r="E10" i="1" s="1"/>
  <c r="C29" i="1"/>
  <c r="C65" i="1"/>
  <c r="C69" i="1" s="1"/>
  <c r="C70" i="1" s="1"/>
  <c r="E70" i="1" s="1"/>
  <c r="C9" i="1" s="1"/>
  <c r="C10" i="1"/>
</calcChain>
</file>

<file path=xl/sharedStrings.xml><?xml version="1.0" encoding="utf-8"?>
<sst xmlns="http://schemas.openxmlformats.org/spreadsheetml/2006/main" count="157" uniqueCount="104">
  <si>
    <t>m/s</t>
  </si>
  <si>
    <t>N</t>
  </si>
  <si>
    <t>m</t>
  </si>
  <si>
    <r>
      <t>m</t>
    </r>
    <r>
      <rPr>
        <vertAlign val="superscript"/>
        <sz val="12"/>
        <rFont val="Arial"/>
        <family val="2"/>
      </rPr>
      <t>2</t>
    </r>
  </si>
  <si>
    <t>Abgeleitete Größen</t>
  </si>
  <si>
    <t>Hz</t>
  </si>
  <si>
    <t xml:space="preserve"> </t>
  </si>
  <si>
    <t>Einheit</t>
  </si>
  <si>
    <r>
      <t>Ns/m</t>
    </r>
    <r>
      <rPr>
        <vertAlign val="superscript"/>
        <sz val="12"/>
        <rFont val="Arial"/>
        <family val="2"/>
      </rPr>
      <t>2</t>
    </r>
  </si>
  <si>
    <r>
      <t>kg/m</t>
    </r>
    <r>
      <rPr>
        <vertAlign val="superscript"/>
        <sz val="12"/>
        <rFont val="Arial"/>
        <family val="2"/>
      </rPr>
      <t>3</t>
    </r>
  </si>
  <si>
    <t>deg</t>
  </si>
  <si>
    <t>%</t>
  </si>
  <si>
    <t xml:space="preserve">Þ </t>
  </si>
  <si>
    <r>
      <t xml:space="preserve">Amplitude </t>
    </r>
    <r>
      <rPr>
        <sz val="12"/>
        <rFont val="SymbolProp BT"/>
        <family val="1"/>
        <charset val="2"/>
      </rPr>
      <t>a</t>
    </r>
    <r>
      <rPr>
        <vertAlign val="subscript"/>
        <sz val="12"/>
        <rFont val="Arial"/>
        <family val="2"/>
      </rPr>
      <t>0</t>
    </r>
    <r>
      <rPr>
        <sz val="12"/>
        <rFont val="Arial"/>
        <family val="2"/>
      </rPr>
      <t>, Amplitudenverhältnis</t>
    </r>
    <r>
      <rPr>
        <sz val="12"/>
        <rFont val="SymbolProp BT"/>
        <family val="1"/>
        <charset val="2"/>
      </rPr>
      <t xml:space="preserve"> l</t>
    </r>
  </si>
  <si>
    <r>
      <t>N/m</t>
    </r>
    <r>
      <rPr>
        <vertAlign val="superscript"/>
        <sz val="12"/>
        <rFont val="Arial"/>
        <family val="2"/>
      </rPr>
      <t>2</t>
    </r>
  </si>
  <si>
    <t>W</t>
  </si>
  <si>
    <t>Mathematische Funktionen</t>
  </si>
  <si>
    <r>
      <t xml:space="preserve">Theodorsen Funktion zu </t>
    </r>
    <r>
      <rPr>
        <sz val="12"/>
        <rFont val="SymbolProp BT"/>
        <family val="1"/>
        <charset val="2"/>
      </rPr>
      <t>w</t>
    </r>
    <r>
      <rPr>
        <sz val="12"/>
        <rFont val="Arial"/>
        <family val="2"/>
      </rPr>
      <t>*</t>
    </r>
  </si>
  <si>
    <t>Hankel(2)0</t>
  </si>
  <si>
    <t>Hankel(2)1</t>
  </si>
  <si>
    <t>Realteil, Imaginärteil</t>
  </si>
  <si>
    <t>Normalkraftbeiwert Schlagen</t>
  </si>
  <si>
    <t>Betrag, Phase</t>
  </si>
  <si>
    <r>
      <t>Normalkraftbeiwert Drehen</t>
    </r>
    <r>
      <rPr>
        <sz val="12"/>
        <rFont val="MT Extra"/>
        <family val="1"/>
        <charset val="2"/>
      </rPr>
      <t xml:space="preserve"> l</t>
    </r>
    <r>
      <rPr>
        <sz val="12"/>
        <rFont val="Arial"/>
        <family val="2"/>
      </rPr>
      <t>/4</t>
    </r>
  </si>
  <si>
    <r>
      <t>Momentenbeiwert Schlagen</t>
    </r>
    <r>
      <rPr>
        <sz val="12"/>
        <rFont val="MT Extra"/>
        <family val="1"/>
        <charset val="2"/>
      </rPr>
      <t xml:space="preserve"> l</t>
    </r>
    <r>
      <rPr>
        <sz val="12"/>
        <rFont val="Arial"/>
        <family val="2"/>
      </rPr>
      <t>/4</t>
    </r>
  </si>
  <si>
    <r>
      <t xml:space="preserve">MomentenbeiwertDrehen </t>
    </r>
    <r>
      <rPr>
        <sz val="12"/>
        <rFont val="MT Extra"/>
        <family val="1"/>
        <charset val="2"/>
      </rPr>
      <t>l</t>
    </r>
    <r>
      <rPr>
        <sz val="12"/>
        <rFont val="Arial"/>
        <family val="2"/>
      </rPr>
      <t>/4</t>
    </r>
  </si>
  <si>
    <t>Entwurf: Dr. W. Send - ANIPROP GbR</t>
  </si>
  <si>
    <t>Normalkraftbeiwert Drehen</t>
  </si>
  <si>
    <t>Momentenbeiwert Schlagen</t>
  </si>
  <si>
    <t>Momentenbeiwert Drehen</t>
  </si>
  <si>
    <t>&lt;c,Ph&gt;</t>
  </si>
  <si>
    <t>&lt;c,Pa&gt;</t>
  </si>
  <si>
    <t>&lt;c,Pg&gt;</t>
  </si>
  <si>
    <t xml:space="preserve">Wirkungsgrad 2D aus Querkräften </t>
  </si>
  <si>
    <r>
      <t xml:space="preserve">Nennkraft </t>
    </r>
    <r>
      <rPr>
        <i/>
        <sz val="12"/>
        <rFont val="Arial"/>
        <family val="2"/>
      </rPr>
      <t>F</t>
    </r>
    <r>
      <rPr>
        <vertAlign val="subscript"/>
        <sz val="12"/>
        <rFont val="Arial"/>
        <family val="2"/>
      </rPr>
      <t>0</t>
    </r>
    <r>
      <rPr>
        <sz val="12"/>
        <rFont val="Arial"/>
        <family val="2"/>
      </rPr>
      <t xml:space="preserve">, Nennleistung </t>
    </r>
    <r>
      <rPr>
        <i/>
        <sz val="12"/>
        <rFont val="Arial"/>
        <family val="2"/>
      </rPr>
      <t>P</t>
    </r>
    <r>
      <rPr>
        <vertAlign val="subscript"/>
        <sz val="12"/>
        <rFont val="Arial"/>
        <family val="2"/>
      </rPr>
      <t>0</t>
    </r>
  </si>
  <si>
    <t>Näherung der Leistungen (Platte)</t>
  </si>
  <si>
    <t>-</t>
  </si>
  <si>
    <t xml:space="preserve"> -</t>
  </si>
  <si>
    <r>
      <t>c</t>
    </r>
    <r>
      <rPr>
        <vertAlign val="subscript"/>
        <sz val="12"/>
        <rFont val="Arial"/>
        <family val="2"/>
      </rPr>
      <t xml:space="preserve">W </t>
    </r>
    <r>
      <rPr>
        <sz val="12"/>
        <rFont val="Arial"/>
        <family val="2"/>
      </rPr>
      <t xml:space="preserve">aus Nasenschub </t>
    </r>
  </si>
  <si>
    <r>
      <t>W/m</t>
    </r>
    <r>
      <rPr>
        <vertAlign val="superscript"/>
        <sz val="12"/>
        <rFont val="Arial"/>
        <family val="2"/>
      </rPr>
      <t>2</t>
    </r>
  </si>
  <si>
    <t>Þ</t>
  </si>
  <si>
    <t>Kinematische Daten</t>
  </si>
  <si>
    <t>Ebene Platte 2D mit 3D Korrektur</t>
  </si>
  <si>
    <t xml:space="preserve"> alfa.H0</t>
  </si>
  <si>
    <t>alfa.0</t>
  </si>
  <si>
    <t>lambda</t>
  </si>
  <si>
    <t>alfa.H0</t>
  </si>
  <si>
    <t xml:space="preserve"> kappa</t>
  </si>
  <si>
    <r>
      <t xml:space="preserve">Reynoldszahl </t>
    </r>
    <r>
      <rPr>
        <i/>
        <sz val="12"/>
        <rFont val="Arial"/>
        <family val="2"/>
      </rPr>
      <t>Re</t>
    </r>
  </si>
  <si>
    <r>
      <t xml:space="preserve">Reduzierte Frequenz </t>
    </r>
    <r>
      <rPr>
        <sz val="12"/>
        <rFont val="SymbolProp BT"/>
        <family val="1"/>
        <charset val="2"/>
      </rPr>
      <t>w</t>
    </r>
    <r>
      <rPr>
        <sz val="12"/>
        <rFont val="Arial"/>
        <family val="2"/>
      </rPr>
      <t>* (Bezug auf</t>
    </r>
    <r>
      <rPr>
        <i/>
        <sz val="12"/>
        <rFont val="Arial"/>
        <family val="2"/>
      </rPr>
      <t xml:space="preserve"> </t>
    </r>
    <r>
      <rPr>
        <i/>
        <sz val="12"/>
        <rFont val="MT Extra"/>
        <family val="1"/>
        <charset val="2"/>
      </rPr>
      <t>l</t>
    </r>
    <r>
      <rPr>
        <sz val="12"/>
        <rFont val="Arial"/>
        <family val="2"/>
      </rPr>
      <t>/2)</t>
    </r>
  </si>
  <si>
    <t>Physikalische Daten</t>
  </si>
  <si>
    <t>V 1.0 -30.08.2002</t>
  </si>
  <si>
    <t>Basisdaten</t>
  </si>
  <si>
    <t>Für Artikel Nat.wiss. Rundschau</t>
  </si>
  <si>
    <t>Auslegung und Geometrie</t>
  </si>
  <si>
    <r>
      <t>N</t>
    </r>
    <r>
      <rPr>
        <vertAlign val="superscript"/>
        <sz val="12"/>
        <rFont val="Arial"/>
        <family val="2"/>
      </rPr>
      <t>2/3</t>
    </r>
    <r>
      <rPr>
        <sz val="12"/>
        <rFont val="Arial"/>
        <family val="2"/>
      </rPr>
      <t>/m</t>
    </r>
    <r>
      <rPr>
        <vertAlign val="superscript"/>
        <sz val="12"/>
        <rFont val="Arial"/>
        <family val="2"/>
      </rPr>
      <t>2</t>
    </r>
  </si>
  <si>
    <r>
      <t xml:space="preserve">Konstante </t>
    </r>
    <r>
      <rPr>
        <i/>
        <sz val="12"/>
        <rFont val="Arial"/>
        <family val="2"/>
      </rPr>
      <t>k</t>
    </r>
    <r>
      <rPr>
        <i/>
        <vertAlign val="subscript"/>
        <sz val="12"/>
        <rFont val="Arial"/>
        <family val="2"/>
      </rPr>
      <t>G</t>
    </r>
    <r>
      <rPr>
        <sz val="12"/>
        <rFont val="Arial"/>
        <family val="2"/>
      </rPr>
      <t xml:space="preserve">, Gesamtgewicht </t>
    </r>
    <r>
      <rPr>
        <i/>
        <sz val="12"/>
        <rFont val="Arial"/>
        <family val="2"/>
      </rPr>
      <t>G</t>
    </r>
  </si>
  <si>
    <r>
      <t>2D Beiwert</t>
    </r>
    <r>
      <rPr>
        <i/>
        <sz val="12"/>
        <rFont val="Arial"/>
        <family val="2"/>
      </rPr>
      <t xml:space="preserve"> c</t>
    </r>
    <r>
      <rPr>
        <i/>
        <vertAlign val="subscript"/>
        <sz val="12"/>
        <rFont val="Arial"/>
        <family val="2"/>
      </rPr>
      <t>A</t>
    </r>
    <r>
      <rPr>
        <i/>
        <sz val="12"/>
        <rFont val="Arial"/>
        <family val="2"/>
      </rPr>
      <t xml:space="preserve">, </t>
    </r>
    <r>
      <rPr>
        <sz val="12"/>
        <rFont val="Arial"/>
        <family val="2"/>
      </rPr>
      <t>Seitenverhältnis</t>
    </r>
    <r>
      <rPr>
        <i/>
        <sz val="12"/>
        <rFont val="Arial"/>
        <family val="2"/>
      </rPr>
      <t xml:space="preserve"> </t>
    </r>
    <r>
      <rPr>
        <i/>
        <sz val="12"/>
        <rFont val="Symbol"/>
        <family val="1"/>
        <charset val="2"/>
      </rPr>
      <t>L</t>
    </r>
  </si>
  <si>
    <r>
      <t xml:space="preserve">Gleitzahl, Widerstand </t>
    </r>
    <r>
      <rPr>
        <i/>
        <sz val="12"/>
        <rFont val="Arial"/>
        <family val="2"/>
      </rPr>
      <t>W</t>
    </r>
  </si>
  <si>
    <t>Vorgaben</t>
  </si>
  <si>
    <t>Zähigkeit, Dichte Luft bei 20°</t>
  </si>
  <si>
    <r>
      <t xml:space="preserve">Flächenbelastung </t>
    </r>
    <r>
      <rPr>
        <sz val="12"/>
        <rFont val="Symbol"/>
        <family val="1"/>
        <charset val="2"/>
      </rPr>
      <t>g</t>
    </r>
    <r>
      <rPr>
        <sz val="12"/>
        <rFont val="Arial"/>
        <family val="2"/>
      </rPr>
      <t xml:space="preserve"> , 3D Beiwert </t>
    </r>
    <r>
      <rPr>
        <i/>
        <sz val="12"/>
        <rFont val="Arial"/>
        <family val="2"/>
      </rPr>
      <t>c</t>
    </r>
    <r>
      <rPr>
        <i/>
        <vertAlign val="subscript"/>
        <sz val="12"/>
        <rFont val="Arial"/>
        <family val="2"/>
      </rPr>
      <t>A</t>
    </r>
    <r>
      <rPr>
        <sz val="12"/>
        <rFont val="Arial"/>
        <family val="2"/>
      </rPr>
      <t xml:space="preserve"> </t>
    </r>
  </si>
  <si>
    <r>
      <t xml:space="preserve">Drehachse </t>
    </r>
    <r>
      <rPr>
        <i/>
        <sz val="12"/>
        <rFont val="Arial"/>
        <family val="2"/>
      </rPr>
      <t>x</t>
    </r>
    <r>
      <rPr>
        <i/>
        <vertAlign val="subscript"/>
        <sz val="12"/>
        <rFont val="Arial"/>
        <family val="2"/>
      </rPr>
      <t>D</t>
    </r>
    <r>
      <rPr>
        <i/>
        <sz val="12"/>
        <rFont val="Arial"/>
        <family val="2"/>
      </rPr>
      <t>/</t>
    </r>
    <r>
      <rPr>
        <i/>
        <sz val="12"/>
        <rFont val="MT Extra"/>
        <family val="1"/>
        <charset val="2"/>
      </rPr>
      <t>l</t>
    </r>
    <r>
      <rPr>
        <i/>
        <sz val="12"/>
        <rFont val="Arial"/>
        <family val="2"/>
      </rPr>
      <t xml:space="preserve">, </t>
    </r>
    <r>
      <rPr>
        <sz val="12"/>
        <rFont val="Arial"/>
        <family val="2"/>
      </rPr>
      <t xml:space="preserve">Zuspitzung </t>
    </r>
    <r>
      <rPr>
        <i/>
        <sz val="12"/>
        <rFont val="Symbol"/>
        <family val="1"/>
        <charset val="2"/>
      </rPr>
      <t>d</t>
    </r>
  </si>
  <si>
    <r>
      <t xml:space="preserve">Flügelfläche </t>
    </r>
    <r>
      <rPr>
        <i/>
        <sz val="12"/>
        <rFont val="Arial"/>
        <family val="2"/>
      </rPr>
      <t>S,</t>
    </r>
    <r>
      <rPr>
        <sz val="12"/>
        <rFont val="Arial"/>
        <family val="2"/>
      </rPr>
      <t xml:space="preserve"> Spannweite </t>
    </r>
    <r>
      <rPr>
        <i/>
        <sz val="12"/>
        <rFont val="Arial"/>
        <family val="2"/>
      </rPr>
      <t>b</t>
    </r>
  </si>
  <si>
    <t>Flügeltiefe Wurzel, Spitze</t>
  </si>
  <si>
    <r>
      <t xml:space="preserve">Geschwindigkeit </t>
    </r>
    <r>
      <rPr>
        <i/>
        <sz val="12"/>
        <rFont val="Arial"/>
        <family val="2"/>
      </rPr>
      <t>u</t>
    </r>
    <r>
      <rPr>
        <vertAlign val="subscript"/>
        <sz val="12"/>
        <rFont val="Arial"/>
        <family val="2"/>
      </rPr>
      <t>0</t>
    </r>
    <r>
      <rPr>
        <sz val="12"/>
        <rFont val="Arial"/>
        <family val="2"/>
      </rPr>
      <t xml:space="preserve">, Leistung </t>
    </r>
    <r>
      <rPr>
        <i/>
        <sz val="12"/>
        <rFont val="Arial"/>
        <family val="2"/>
      </rPr>
      <t>P</t>
    </r>
  </si>
  <si>
    <r>
      <t xml:space="preserve">Staudruck </t>
    </r>
    <r>
      <rPr>
        <i/>
        <sz val="12"/>
        <rFont val="Arial"/>
        <family val="2"/>
      </rPr>
      <t>q</t>
    </r>
    <r>
      <rPr>
        <vertAlign val="subscript"/>
        <sz val="12"/>
        <rFont val="Arial"/>
        <family val="2"/>
      </rPr>
      <t>0</t>
    </r>
    <r>
      <rPr>
        <sz val="12"/>
        <rFont val="Arial"/>
        <family val="2"/>
      </rPr>
      <t xml:space="preserve">, spez. Leistung </t>
    </r>
    <r>
      <rPr>
        <i/>
        <sz val="12"/>
        <rFont val="Arial"/>
        <family val="2"/>
      </rPr>
      <t>w</t>
    </r>
  </si>
  <si>
    <t xml:space="preserve"> W/kg</t>
  </si>
  <si>
    <t xml:space="preserve">Schwerebeschleunigung g </t>
  </si>
  <si>
    <t>m/s2</t>
  </si>
  <si>
    <r>
      <t xml:space="preserve">Zugehörige Schlagfrequenz </t>
    </r>
    <r>
      <rPr>
        <i/>
        <sz val="12"/>
        <rFont val="Arial"/>
        <family val="2"/>
      </rPr>
      <t>f</t>
    </r>
  </si>
  <si>
    <r>
      <t xml:space="preserve">Wirkungsgrad </t>
    </r>
    <r>
      <rPr>
        <i/>
        <sz val="12"/>
        <rFont val="Symbol"/>
        <family val="1"/>
        <charset val="2"/>
      </rPr>
      <t>h</t>
    </r>
    <r>
      <rPr>
        <sz val="12"/>
        <rFont val="Arial"/>
        <family val="2"/>
      </rPr>
      <t xml:space="preserve">, Phasenvoreilung </t>
    </r>
    <r>
      <rPr>
        <i/>
        <sz val="12"/>
        <rFont val="Symbol"/>
        <family val="1"/>
        <charset val="2"/>
      </rPr>
      <t>k</t>
    </r>
  </si>
  <si>
    <t>Feste Kerndaten</t>
  </si>
  <si>
    <t>sin (kappa)</t>
  </si>
  <si>
    <t>Ermittelte Vorgaben</t>
  </si>
  <si>
    <t>sin (kappa)**2</t>
  </si>
  <si>
    <r>
      <t xml:space="preserve">Amplitudenverhältnis </t>
    </r>
    <r>
      <rPr>
        <i/>
        <sz val="12"/>
        <rFont val="Symbol"/>
        <family val="1"/>
        <charset val="2"/>
      </rPr>
      <t xml:space="preserve">l </t>
    </r>
  </si>
  <si>
    <t>Resultate (Theorie ebene Platte 2D)</t>
  </si>
  <si>
    <t>Wirkungsgrad - Erzielt / Vorgabe</t>
  </si>
  <si>
    <t>Näherung für Wirkungsgrad</t>
  </si>
  <si>
    <t>a.lin</t>
  </si>
  <si>
    <r>
      <t>Formfaktor</t>
    </r>
    <r>
      <rPr>
        <i/>
        <sz val="12"/>
        <rFont val="Arial"/>
        <family val="2"/>
      </rPr>
      <t xml:space="preserve"> f.P</t>
    </r>
    <r>
      <rPr>
        <sz val="12"/>
        <rFont val="Arial"/>
        <family val="2"/>
      </rPr>
      <t xml:space="preserve"> für Leistung</t>
    </r>
  </si>
  <si>
    <r>
      <t xml:space="preserve">Mittlere Flügeltiefe </t>
    </r>
    <r>
      <rPr>
        <sz val="12"/>
        <rFont val="MT Extra"/>
        <family val="1"/>
        <charset val="2"/>
      </rPr>
      <t>l</t>
    </r>
    <r>
      <rPr>
        <sz val="12"/>
        <rFont val="Arial"/>
        <family val="2"/>
      </rPr>
      <t>, Starre Drehung</t>
    </r>
  </si>
  <si>
    <t>rad</t>
  </si>
  <si>
    <t xml:space="preserve">Drehamplitude Flügelspitze </t>
  </si>
  <si>
    <t>h.0/(l/2)</t>
  </si>
  <si>
    <t>Schlagamplitude Flügelspitze</t>
  </si>
  <si>
    <t>Drehamplitude aus Schlagen</t>
  </si>
  <si>
    <t>Effektive Anstellamplitude</t>
  </si>
  <si>
    <t xml:space="preserve">Nasenschub, Kraft und Leistung </t>
  </si>
  <si>
    <t xml:space="preserve">Schubleistung aus Querkräften </t>
  </si>
  <si>
    <t>Flächenleistung - Spez. Leistung</t>
  </si>
  <si>
    <t>W/kg</t>
  </si>
  <si>
    <t>Amplituden Flügelspitze, Schlag - Drehen</t>
  </si>
  <si>
    <t>Schubleistung aus Nasenschub, Freq.</t>
  </si>
  <si>
    <r>
      <t>Reduzierte Frequenz</t>
    </r>
    <r>
      <rPr>
        <sz val="12"/>
        <rFont val="SymbolProp BT"/>
        <charset val="2"/>
      </rPr>
      <t xml:space="preserve"> </t>
    </r>
    <r>
      <rPr>
        <sz val="12"/>
        <rFont val="Symbol"/>
        <family val="1"/>
        <charset val="2"/>
      </rPr>
      <t>w</t>
    </r>
    <r>
      <rPr>
        <sz val="12"/>
        <rFont val="Arial"/>
        <family val="2"/>
      </rPr>
      <t>*, bezogen auf</t>
    </r>
    <r>
      <rPr>
        <sz val="12"/>
        <rFont val="MT Extra"/>
        <family val="1"/>
        <charset val="2"/>
      </rPr>
      <t xml:space="preserve"> l</t>
    </r>
  </si>
  <si>
    <t>Schlag- und Drehleistung</t>
  </si>
  <si>
    <r>
      <t xml:space="preserve">Geometrischer Anstellwinkel </t>
    </r>
    <r>
      <rPr>
        <sz val="12"/>
        <rFont val="Symbol"/>
        <family val="1"/>
        <charset val="2"/>
      </rPr>
      <t>a</t>
    </r>
    <r>
      <rPr>
        <vertAlign val="subscript"/>
        <sz val="11"/>
        <rFont val="Arial"/>
        <family val="2"/>
      </rPr>
      <t>0</t>
    </r>
  </si>
  <si>
    <t>Wesentliche</t>
  </si>
  <si>
    <t>Ergebnisse</t>
  </si>
  <si>
    <t>Schubleistung -  Widerstandsbeiwert</t>
  </si>
  <si>
    <t>Auslegung A3T - Modell "Normal"</t>
  </si>
  <si>
    <t>natrs03_modellnormal_send.xls</t>
  </si>
  <si>
    <t>Schlag- und Drehleistung, Schubkraft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</si>
</sst>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E+00"/>
    <numFmt numFmtId="165" formatCode="0.000"/>
    <numFmt numFmtId="166" formatCode="0.0000"/>
    <numFmt numFmtId="167" formatCode="0.000E+00"/>
    <numFmt numFmtId="168" formatCode="0.0"/>
    <numFmt numFmtId="169" formatCode="#,##0.000"/>
    <numFmt numFmtId="170" formatCode="#,##0.0"/>
    <numFmt numFmtId="171" formatCode="0.00000E+00"/>
  </numFmts>
  <fonts count="33" x14ac:knownFonts="1">
    <font>
      <sz val="10"/>
      <name val="Arial"/>
    </font>
    <font>
      <sz val="12"/>
      <name val="Arial"/>
      <family val="2"/>
    </font>
    <font>
      <vertAlign val="superscript"/>
      <sz val="12"/>
      <name val="Arial"/>
      <family val="2"/>
    </font>
    <font>
      <i/>
      <sz val="12"/>
      <name val="Arial"/>
      <family val="2"/>
    </font>
    <font>
      <i/>
      <vertAlign val="subscript"/>
      <sz val="12"/>
      <name val="Arial"/>
      <family val="2"/>
    </font>
    <font>
      <b/>
      <sz val="12"/>
      <name val="Arial"/>
      <family val="2"/>
    </font>
    <font>
      <sz val="12"/>
      <name val="SymbolProp BT"/>
      <family val="1"/>
      <charset val="2"/>
    </font>
    <font>
      <vertAlign val="subscript"/>
      <sz val="12"/>
      <name val="Arial"/>
      <family val="2"/>
    </font>
    <font>
      <sz val="12"/>
      <name val="MT Extra"/>
      <family val="1"/>
      <charset val="2"/>
    </font>
    <font>
      <b/>
      <sz val="16"/>
      <name val="SymbolProp BT"/>
      <family val="1"/>
      <charset val="2"/>
    </font>
    <font>
      <sz val="16"/>
      <name val="SymbolProp BT"/>
      <family val="1"/>
      <charset val="2"/>
    </font>
    <font>
      <sz val="12"/>
      <color indexed="9"/>
      <name val="Arial"/>
      <family val="2"/>
    </font>
    <font>
      <sz val="10"/>
      <color indexed="9"/>
      <name val="Arial"/>
      <family val="2"/>
    </font>
    <font>
      <i/>
      <sz val="12"/>
      <name val="MT Extra"/>
      <family val="1"/>
      <charset val="2"/>
    </font>
    <font>
      <b/>
      <sz val="14"/>
      <name val="Arial"/>
      <family val="2"/>
    </font>
    <font>
      <sz val="12"/>
      <color indexed="12"/>
      <name val="Arial"/>
      <family val="2"/>
    </font>
    <font>
      <sz val="12"/>
      <color indexed="1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SymbolProp BT"/>
      <family val="1"/>
      <charset val="2"/>
    </font>
    <font>
      <sz val="8"/>
      <name val="Arial"/>
    </font>
    <font>
      <sz val="14"/>
      <name val="Arial"/>
      <family val="2"/>
    </font>
    <font>
      <sz val="16"/>
      <name val="Arial"/>
      <family val="2"/>
    </font>
    <font>
      <sz val="16"/>
      <name val="Arial"/>
    </font>
    <font>
      <b/>
      <sz val="12"/>
      <color indexed="12"/>
      <name val="Arial"/>
      <family val="2"/>
    </font>
    <font>
      <b/>
      <sz val="10"/>
      <name val="Arial"/>
    </font>
    <font>
      <sz val="12"/>
      <name val="SymbolProp BT"/>
      <charset val="2"/>
    </font>
    <font>
      <vertAlign val="subscript"/>
      <sz val="11"/>
      <name val="Arial"/>
      <family val="2"/>
    </font>
    <font>
      <sz val="8"/>
      <name val="SymbolProp BT"/>
      <charset val="2"/>
    </font>
    <font>
      <b/>
      <sz val="8"/>
      <name val="Arial"/>
      <family val="2"/>
    </font>
    <font>
      <i/>
      <sz val="12"/>
      <name val="Symbol"/>
      <family val="1"/>
      <charset val="2"/>
    </font>
    <font>
      <sz val="12"/>
      <name val="Symbol"/>
      <family val="1"/>
      <charset val="2"/>
    </font>
    <font>
      <sz val="16"/>
      <name val="Symbol"/>
      <family val="1"/>
      <charset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10" fillId="0" borderId="0" xfId="0" applyFont="1" applyAlignment="1">
      <alignment horizontal="right"/>
    </xf>
    <xf numFmtId="49" fontId="1" fillId="0" borderId="0" xfId="0" applyNumberFormat="1" applyFont="1" applyAlignment="1">
      <alignment horizontal="left"/>
    </xf>
    <xf numFmtId="2" fontId="1" fillId="0" borderId="0" xfId="0" applyNumberFormat="1" applyFont="1"/>
    <xf numFmtId="2" fontId="0" fillId="0" borderId="0" xfId="0" applyNumberFormat="1"/>
    <xf numFmtId="49" fontId="1" fillId="0" borderId="0" xfId="0" applyNumberFormat="1" applyFont="1"/>
    <xf numFmtId="0" fontId="12" fillId="0" borderId="0" xfId="0" applyFont="1"/>
    <xf numFmtId="0" fontId="20" fillId="0" borderId="0" xfId="0" applyFont="1"/>
    <xf numFmtId="0" fontId="21" fillId="0" borderId="0" xfId="0" applyFont="1"/>
    <xf numFmtId="0" fontId="18" fillId="0" borderId="0" xfId="0" applyFont="1"/>
    <xf numFmtId="0" fontId="23" fillId="0" borderId="0" xfId="0" applyFont="1"/>
    <xf numFmtId="0" fontId="21" fillId="2" borderId="0" xfId="0" applyFont="1" applyFill="1"/>
    <xf numFmtId="0" fontId="21" fillId="2" borderId="0" xfId="0" applyFont="1" applyFill="1" applyAlignment="1">
      <alignment horizontal="right"/>
    </xf>
    <xf numFmtId="49" fontId="21" fillId="2" borderId="0" xfId="0" applyNumberFormat="1" applyFont="1" applyFill="1" applyAlignment="1">
      <alignment horizontal="right"/>
    </xf>
    <xf numFmtId="0" fontId="0" fillId="2" borderId="0" xfId="0" applyFill="1"/>
    <xf numFmtId="0" fontId="18" fillId="2" borderId="0" xfId="0" applyFont="1" applyFill="1"/>
    <xf numFmtId="0" fontId="10" fillId="2" borderId="0" xfId="0" applyFont="1" applyFill="1" applyAlignment="1">
      <alignment horizontal="right"/>
    </xf>
    <xf numFmtId="0" fontId="5" fillId="2" borderId="0" xfId="0" applyFont="1" applyFill="1"/>
    <xf numFmtId="2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9" fillId="2" borderId="0" xfId="0" applyFont="1" applyFill="1" applyAlignment="1">
      <alignment horizontal="right"/>
    </xf>
    <xf numFmtId="2" fontId="18" fillId="2" borderId="0" xfId="0" applyNumberFormat="1" applyFont="1" applyFill="1" applyAlignment="1">
      <alignment horizontal="right"/>
    </xf>
    <xf numFmtId="0" fontId="18" fillId="2" borderId="0" xfId="0" applyFont="1" applyFill="1" applyAlignment="1">
      <alignment horizontal="center"/>
    </xf>
    <xf numFmtId="49" fontId="18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right"/>
    </xf>
    <xf numFmtId="0" fontId="1" fillId="2" borderId="0" xfId="0" applyFont="1" applyFill="1"/>
    <xf numFmtId="167" fontId="1" fillId="2" borderId="0" xfId="0" applyNumberFormat="1" applyFont="1" applyFill="1" applyAlignment="1">
      <alignment horizontal="right"/>
    </xf>
    <xf numFmtId="2" fontId="11" fillId="2" borderId="0" xfId="0" applyNumberFormat="1" applyFont="1" applyFill="1" applyAlignment="1" applyProtection="1">
      <alignment horizontal="right"/>
      <protection locked="0" hidden="1"/>
    </xf>
    <xf numFmtId="165" fontId="11" fillId="2" borderId="0" xfId="0" applyNumberFormat="1" applyFont="1" applyFill="1" applyAlignment="1">
      <alignment horizontal="right"/>
    </xf>
    <xf numFmtId="3" fontId="1" fillId="2" borderId="0" xfId="0" applyNumberFormat="1" applyFont="1" applyFill="1" applyAlignment="1">
      <alignment horizontal="right"/>
    </xf>
    <xf numFmtId="2" fontId="11" fillId="2" borderId="0" xfId="0" applyNumberFormat="1" applyFont="1" applyFill="1" applyAlignment="1">
      <alignment horizontal="right"/>
    </xf>
    <xf numFmtId="169" fontId="1" fillId="2" borderId="0" xfId="0" applyNumberFormat="1" applyFont="1" applyFill="1" applyAlignment="1">
      <alignment horizontal="right"/>
    </xf>
    <xf numFmtId="166" fontId="1" fillId="2" borderId="0" xfId="0" applyNumberFormat="1" applyFont="1" applyFill="1" applyAlignment="1">
      <alignment horizontal="right"/>
    </xf>
    <xf numFmtId="165" fontId="1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170" fontId="1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right"/>
    </xf>
    <xf numFmtId="0" fontId="22" fillId="2" borderId="0" xfId="0" applyFont="1" applyFill="1" applyAlignment="1">
      <alignment horizontal="center"/>
    </xf>
    <xf numFmtId="2" fontId="22" fillId="2" borderId="0" xfId="0" applyNumberFormat="1" applyFont="1" applyFill="1" applyAlignment="1">
      <alignment horizontal="right"/>
    </xf>
    <xf numFmtId="49" fontId="22" fillId="2" borderId="0" xfId="0" applyNumberFormat="1" applyFont="1" applyFill="1" applyAlignment="1">
      <alignment horizontal="center"/>
    </xf>
    <xf numFmtId="164" fontId="11" fillId="2" borderId="0" xfId="0" applyNumberFormat="1" applyFont="1" applyFill="1" applyAlignment="1">
      <alignment horizontal="right"/>
    </xf>
    <xf numFmtId="167" fontId="11" fillId="2" borderId="0" xfId="0" applyNumberFormat="1" applyFont="1" applyFill="1" applyAlignment="1">
      <alignment horizontal="center"/>
    </xf>
    <xf numFmtId="49" fontId="11" fillId="2" borderId="0" xfId="0" applyNumberFormat="1" applyFont="1" applyFill="1" applyAlignment="1">
      <alignment horizontal="center"/>
    </xf>
    <xf numFmtId="167" fontId="11" fillId="2" borderId="0" xfId="0" applyNumberFormat="1" applyFont="1" applyFill="1" applyAlignment="1" applyProtection="1">
      <alignment horizontal="right"/>
      <protection locked="0"/>
    </xf>
    <xf numFmtId="0" fontId="11" fillId="2" borderId="0" xfId="0" applyFont="1" applyFill="1" applyAlignment="1">
      <alignment horizontal="center"/>
    </xf>
    <xf numFmtId="0" fontId="15" fillId="2" borderId="0" xfId="0" applyFont="1" applyFill="1"/>
    <xf numFmtId="166" fontId="15" fillId="2" borderId="0" xfId="0" applyNumberFormat="1" applyFont="1" applyFill="1" applyAlignment="1">
      <alignment horizontal="right"/>
    </xf>
    <xf numFmtId="0" fontId="15" fillId="2" borderId="0" xfId="0" applyFont="1" applyFill="1" applyAlignment="1">
      <alignment horizontal="center"/>
    </xf>
    <xf numFmtId="2" fontId="15" fillId="2" borderId="0" xfId="0" applyNumberFormat="1" applyFont="1" applyFill="1" applyAlignment="1">
      <alignment horizontal="right"/>
    </xf>
    <xf numFmtId="166" fontId="11" fillId="2" borderId="0" xfId="0" applyNumberFormat="1" applyFont="1" applyFill="1" applyAlignment="1">
      <alignment horizontal="right"/>
    </xf>
    <xf numFmtId="0" fontId="16" fillId="2" borderId="0" xfId="0" applyFont="1" applyFill="1"/>
    <xf numFmtId="166" fontId="16" fillId="2" borderId="0" xfId="0" applyNumberFormat="1" applyFont="1" applyFill="1" applyAlignment="1">
      <alignment horizontal="right"/>
    </xf>
    <xf numFmtId="0" fontId="16" fillId="2" borderId="0" xfId="0" applyFont="1" applyFill="1" applyAlignment="1">
      <alignment horizontal="center"/>
    </xf>
    <xf numFmtId="2" fontId="16" fillId="2" borderId="0" xfId="0" applyNumberFormat="1" applyFont="1" applyFill="1" applyAlignment="1">
      <alignment horizontal="right"/>
    </xf>
    <xf numFmtId="165" fontId="11" fillId="2" borderId="0" xfId="0" applyNumberFormat="1" applyFont="1" applyFill="1" applyAlignment="1" applyProtection="1">
      <alignment horizontal="right"/>
      <protection locked="0"/>
    </xf>
    <xf numFmtId="49" fontId="11" fillId="2" borderId="0" xfId="0" applyNumberFormat="1" applyFont="1" applyFill="1" applyAlignment="1" applyProtection="1">
      <alignment horizontal="left"/>
      <protection locked="0"/>
    </xf>
    <xf numFmtId="0" fontId="17" fillId="2" borderId="0" xfId="0" applyFont="1" applyFill="1" applyAlignment="1">
      <alignment horizontal="right"/>
    </xf>
    <xf numFmtId="0" fontId="25" fillId="0" borderId="0" xfId="0" applyFont="1"/>
    <xf numFmtId="165" fontId="11" fillId="2" borderId="0" xfId="0" applyNumberFormat="1" applyFont="1" applyFill="1" applyProtection="1">
      <protection locked="0"/>
    </xf>
    <xf numFmtId="0" fontId="14" fillId="2" borderId="0" xfId="0" applyFont="1" applyFill="1" applyAlignment="1">
      <alignment horizontal="left"/>
    </xf>
    <xf numFmtId="0" fontId="18" fillId="2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168" fontId="1" fillId="2" borderId="0" xfId="0" applyNumberFormat="1" applyFont="1" applyFill="1" applyAlignment="1">
      <alignment horizontal="right"/>
    </xf>
    <xf numFmtId="2" fontId="1" fillId="3" borderId="1" xfId="0" applyNumberFormat="1" applyFont="1" applyFill="1" applyBorder="1" applyAlignment="1">
      <alignment horizontal="right"/>
    </xf>
    <xf numFmtId="2" fontId="1" fillId="4" borderId="1" xfId="0" applyNumberFormat="1" applyFont="1" applyFill="1" applyBorder="1" applyAlignment="1">
      <alignment horizontal="right"/>
    </xf>
    <xf numFmtId="0" fontId="28" fillId="2" borderId="0" xfId="0" applyFont="1" applyFill="1" applyAlignment="1">
      <alignment horizontal="right"/>
    </xf>
    <xf numFmtId="11" fontId="1" fillId="2" borderId="0" xfId="0" applyNumberFormat="1" applyFont="1" applyFill="1" applyAlignment="1">
      <alignment horizontal="right"/>
    </xf>
    <xf numFmtId="0" fontId="1" fillId="4" borderId="1" xfId="0" applyFont="1" applyFill="1" applyBorder="1"/>
    <xf numFmtId="13" fontId="1" fillId="2" borderId="0" xfId="0" applyNumberFormat="1" applyFont="1" applyFill="1" applyAlignment="1">
      <alignment horizontal="right"/>
    </xf>
    <xf numFmtId="11" fontId="1" fillId="2" borderId="0" xfId="0" applyNumberFormat="1" applyFont="1" applyFill="1" applyAlignment="1">
      <alignment horizontal="center"/>
    </xf>
    <xf numFmtId="0" fontId="29" fillId="5" borderId="0" xfId="0" applyFont="1" applyFill="1" applyAlignment="1">
      <alignment horizontal="center"/>
    </xf>
    <xf numFmtId="171" fontId="11" fillId="2" borderId="0" xfId="0" applyNumberFormat="1" applyFont="1" applyFill="1" applyAlignment="1" applyProtection="1">
      <alignment horizontal="right"/>
      <protection locked="0"/>
    </xf>
    <xf numFmtId="0" fontId="18" fillId="3" borderId="1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168" fontId="1" fillId="2" borderId="0" xfId="0" applyNumberFormat="1" applyFont="1" applyFill="1" applyAlignment="1" applyProtection="1">
      <alignment horizontal="right"/>
      <protection locked="0" hidden="1"/>
    </xf>
    <xf numFmtId="168" fontId="1" fillId="4" borderId="1" xfId="0" applyNumberFormat="1" applyFont="1" applyFill="1" applyBorder="1" applyAlignment="1">
      <alignment horizontal="right"/>
    </xf>
    <xf numFmtId="1" fontId="1" fillId="3" borderId="1" xfId="0" applyNumberFormat="1" applyFont="1" applyFill="1" applyBorder="1" applyAlignment="1">
      <alignment horizontal="right"/>
    </xf>
    <xf numFmtId="0" fontId="11" fillId="2" borderId="0" xfId="0" applyFont="1" applyFill="1"/>
    <xf numFmtId="4" fontId="1" fillId="2" borderId="0" xfId="0" applyNumberFormat="1" applyFont="1" applyFill="1" applyAlignment="1">
      <alignment horizontal="right"/>
    </xf>
    <xf numFmtId="0" fontId="5" fillId="6" borderId="2" xfId="0" applyFont="1" applyFill="1" applyBorder="1"/>
    <xf numFmtId="2" fontId="1" fillId="6" borderId="3" xfId="0" applyNumberFormat="1" applyFont="1" applyFill="1" applyBorder="1" applyAlignment="1">
      <alignment horizontal="right"/>
    </xf>
    <xf numFmtId="0" fontId="1" fillId="6" borderId="3" xfId="0" applyFont="1" applyFill="1" applyBorder="1" applyAlignment="1">
      <alignment horizontal="center"/>
    </xf>
    <xf numFmtId="2" fontId="5" fillId="6" borderId="2" xfId="0" applyNumberFormat="1" applyFont="1" applyFill="1" applyBorder="1" applyAlignment="1">
      <alignment horizontal="left"/>
    </xf>
    <xf numFmtId="49" fontId="24" fillId="6" borderId="4" xfId="0" applyNumberFormat="1" applyFont="1" applyFill="1" applyBorder="1" applyAlignment="1">
      <alignment horizontal="center"/>
    </xf>
    <xf numFmtId="0" fontId="1" fillId="6" borderId="1" xfId="0" applyFont="1" applyFill="1" applyBorder="1"/>
    <xf numFmtId="4" fontId="1" fillId="6" borderId="1" xfId="0" applyNumberFormat="1" applyFont="1" applyFill="1" applyBorder="1" applyAlignment="1">
      <alignment horizontal="right"/>
    </xf>
    <xf numFmtId="0" fontId="1" fillId="6" borderId="2" xfId="0" applyFont="1" applyFill="1" applyBorder="1" applyAlignment="1">
      <alignment horizontal="center"/>
    </xf>
    <xf numFmtId="49" fontId="1" fillId="6" borderId="1" xfId="0" applyNumberFormat="1" applyFont="1" applyFill="1" applyBorder="1" applyAlignment="1">
      <alignment horizontal="center"/>
    </xf>
    <xf numFmtId="170" fontId="1" fillId="6" borderId="1" xfId="0" applyNumberFormat="1" applyFont="1" applyFill="1" applyBorder="1" applyAlignment="1">
      <alignment horizontal="right"/>
    </xf>
    <xf numFmtId="2" fontId="1" fillId="6" borderId="1" xfId="0" applyNumberFormat="1" applyFont="1" applyFill="1" applyBorder="1" applyAlignment="1">
      <alignment horizontal="right"/>
    </xf>
    <xf numFmtId="3" fontId="1" fillId="6" borderId="1" xfId="0" applyNumberFormat="1" applyFont="1" applyFill="1" applyBorder="1" applyAlignment="1">
      <alignment horizontal="right"/>
    </xf>
    <xf numFmtId="49" fontId="12" fillId="2" borderId="0" xfId="0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right"/>
    </xf>
    <xf numFmtId="0" fontId="32" fillId="2" borderId="0" xfId="0" applyFont="1" applyFill="1" applyAlignment="1">
      <alignment horizontal="right"/>
    </xf>
    <xf numFmtId="0" fontId="18" fillId="6" borderId="1" xfId="0" applyFont="1" applyFill="1" applyBorder="1"/>
    <xf numFmtId="0" fontId="18" fillId="7" borderId="1" xfId="0" applyFont="1" applyFill="1" applyBorder="1"/>
    <xf numFmtId="168" fontId="1" fillId="7" borderId="1" xfId="0" applyNumberFormat="1" applyFont="1" applyFill="1" applyBorder="1" applyAlignment="1">
      <alignment horizontal="right"/>
    </xf>
    <xf numFmtId="169" fontId="1" fillId="6" borderId="1" xfId="0" applyNumberFormat="1" applyFont="1" applyFill="1" applyBorder="1" applyAlignment="1">
      <alignment horizontal="right"/>
    </xf>
    <xf numFmtId="2" fontId="1" fillId="7" borderId="1" xfId="0" applyNumberFormat="1" applyFont="1" applyFill="1" applyBorder="1" applyAlignment="1" applyProtection="1">
      <alignment horizontal="right"/>
      <protection locked="0" hidden="1"/>
    </xf>
  </cellXfs>
  <cellStyles count="1">
    <cellStyle name="Standard" xfId="0" builtinId="0"/>
  </cellStyles>
  <dxfs count="5"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4"/>
  <sheetViews>
    <sheetView tabSelected="1" view="pageBreakPreview" topLeftCell="A25" zoomScaleNormal="100" zoomScaleSheetLayoutView="100" workbookViewId="0">
      <pane xSplit="10995" topLeftCell="J1"/>
      <selection activeCell="C44" sqref="C44"/>
      <selection pane="topRight" activeCell="T44" sqref="T44"/>
    </sheetView>
  </sheetViews>
  <sheetFormatPr baseColWidth="10" defaultRowHeight="12.75" x14ac:dyDescent="0.2"/>
  <cols>
    <col min="1" max="1" width="5.7109375" customWidth="1"/>
    <col min="2" max="2" width="42.140625" customWidth="1"/>
    <col min="3" max="3" width="12.7109375" customWidth="1"/>
    <col min="4" max="4" width="10.7109375" customWidth="1"/>
    <col min="5" max="5" width="13.28515625" customWidth="1"/>
    <col min="6" max="6" width="13.5703125" customWidth="1"/>
    <col min="8" max="8" width="5.85546875" customWidth="1"/>
  </cols>
  <sheetData>
    <row r="1" spans="1:6" s="10" customFormat="1" ht="18" x14ac:dyDescent="0.25">
      <c r="A1" s="13"/>
      <c r="B1" s="62" t="s">
        <v>101</v>
      </c>
      <c r="C1" s="13"/>
      <c r="D1" s="13"/>
      <c r="E1" s="14"/>
      <c r="F1" s="15" t="s">
        <v>51</v>
      </c>
    </row>
    <row r="2" spans="1:6" x14ac:dyDescent="0.2">
      <c r="A2" s="16"/>
      <c r="B2" s="16" t="s">
        <v>26</v>
      </c>
      <c r="C2" s="16"/>
      <c r="D2" s="16"/>
      <c r="E2" s="16"/>
      <c r="F2" s="59" t="s">
        <v>102</v>
      </c>
    </row>
    <row r="3" spans="1:6" s="11" customFormat="1" ht="12" customHeight="1" x14ac:dyDescent="0.2">
      <c r="A3" s="17"/>
      <c r="B3" s="68"/>
      <c r="C3" s="75" t="s">
        <v>72</v>
      </c>
      <c r="D3" s="97" t="s">
        <v>98</v>
      </c>
      <c r="E3" s="17"/>
      <c r="F3" s="63" t="s">
        <v>52</v>
      </c>
    </row>
    <row r="4" spans="1:6" s="11" customFormat="1" ht="12" customHeight="1" x14ac:dyDescent="0.2">
      <c r="A4" s="17"/>
      <c r="B4" s="73" t="s">
        <v>53</v>
      </c>
      <c r="C4" s="76" t="s">
        <v>59</v>
      </c>
      <c r="D4" s="98" t="s">
        <v>99</v>
      </c>
      <c r="E4" s="17"/>
      <c r="F4" s="63"/>
    </row>
    <row r="5" spans="1:6" s="11" customFormat="1" ht="12" customHeight="1" x14ac:dyDescent="0.2">
      <c r="A5" s="17"/>
      <c r="B5" s="68"/>
      <c r="C5" s="25"/>
      <c r="D5" s="17"/>
      <c r="E5" s="17"/>
      <c r="F5" s="63"/>
    </row>
    <row r="6" spans="1:6" s="11" customFormat="1" ht="21" x14ac:dyDescent="0.35">
      <c r="A6" s="18"/>
      <c r="B6" s="82" t="s">
        <v>77</v>
      </c>
      <c r="C6" s="83"/>
      <c r="D6" s="84"/>
      <c r="E6" s="85" t="s">
        <v>6</v>
      </c>
      <c r="F6" s="86"/>
    </row>
    <row r="7" spans="1:6" s="11" customFormat="1" ht="21" x14ac:dyDescent="0.35">
      <c r="A7" s="18"/>
      <c r="B7" s="87" t="s">
        <v>100</v>
      </c>
      <c r="C7" s="93">
        <f>C66</f>
        <v>-2881.3538628606511</v>
      </c>
      <c r="D7" s="89" t="s">
        <v>15</v>
      </c>
      <c r="E7" s="100">
        <f>E25/E34</f>
        <v>0.08</v>
      </c>
      <c r="F7" s="90" t="s">
        <v>36</v>
      </c>
    </row>
    <row r="8" spans="1:6" s="11" customFormat="1" ht="21" x14ac:dyDescent="0.35">
      <c r="A8" s="18"/>
      <c r="B8" s="87" t="s">
        <v>103</v>
      </c>
      <c r="C8" s="93">
        <f>C68</f>
        <v>3599.7274951690647</v>
      </c>
      <c r="D8" s="89" t="s">
        <v>15</v>
      </c>
      <c r="E8" s="93">
        <f>-E16</f>
        <v>-100</v>
      </c>
      <c r="F8" s="90" t="s">
        <v>1</v>
      </c>
    </row>
    <row r="9" spans="1:6" s="11" customFormat="1" ht="21" x14ac:dyDescent="0.35">
      <c r="A9" s="18"/>
      <c r="B9" s="87" t="s">
        <v>94</v>
      </c>
      <c r="C9" s="93">
        <f>E70</f>
        <v>-5.9578928681831679E-3</v>
      </c>
      <c r="D9" s="89" t="s">
        <v>15</v>
      </c>
      <c r="E9" s="88">
        <f>C28</f>
        <v>2.4610077046975265</v>
      </c>
      <c r="F9" s="90" t="s">
        <v>5</v>
      </c>
    </row>
    <row r="10" spans="1:6" s="11" customFormat="1" ht="21" x14ac:dyDescent="0.35">
      <c r="A10" s="18"/>
      <c r="B10" s="87" t="s">
        <v>93</v>
      </c>
      <c r="C10" s="93">
        <f>C64</f>
        <v>41.262928911697813</v>
      </c>
      <c r="D10" s="89" t="s">
        <v>10</v>
      </c>
      <c r="E10" s="88">
        <f>C62</f>
        <v>1.6365426313503901</v>
      </c>
      <c r="F10" s="90" t="s">
        <v>2</v>
      </c>
    </row>
    <row r="11" spans="1:6" s="11" customFormat="1" ht="21" x14ac:dyDescent="0.35">
      <c r="A11" s="18"/>
      <c r="B11" s="87" t="s">
        <v>91</v>
      </c>
      <c r="C11" s="91">
        <f>C8/C20</f>
        <v>1439.8909980676256</v>
      </c>
      <c r="D11" s="89" t="s">
        <v>39</v>
      </c>
      <c r="E11" s="91">
        <f>E33</f>
        <v>28.254555979211549</v>
      </c>
      <c r="F11" s="90" t="s">
        <v>92</v>
      </c>
    </row>
    <row r="12" spans="1:6" s="11" customFormat="1" ht="21" x14ac:dyDescent="0.35">
      <c r="A12" s="18"/>
      <c r="B12" s="87" t="s">
        <v>78</v>
      </c>
      <c r="C12" s="92">
        <f>C67*100</f>
        <v>80.042281715529256</v>
      </c>
      <c r="D12" s="89" t="s">
        <v>11</v>
      </c>
      <c r="E12" s="92">
        <f>C27*100</f>
        <v>82</v>
      </c>
      <c r="F12" s="90" t="s">
        <v>11</v>
      </c>
    </row>
    <row r="13" spans="1:6" s="11" customFormat="1" ht="12" customHeight="1" x14ac:dyDescent="0.2">
      <c r="A13" s="17"/>
      <c r="B13" s="68"/>
      <c r="C13" s="25"/>
      <c r="D13" s="17"/>
      <c r="E13" s="17"/>
      <c r="F13" s="63"/>
    </row>
    <row r="14" spans="1:6" s="11" customFormat="1" ht="21" x14ac:dyDescent="0.35">
      <c r="A14" s="18"/>
      <c r="B14" s="19" t="s">
        <v>54</v>
      </c>
      <c r="C14" s="20"/>
      <c r="D14" s="21" t="s">
        <v>7</v>
      </c>
      <c r="E14" s="20"/>
      <c r="F14" s="22" t="s">
        <v>7</v>
      </c>
    </row>
    <row r="15" spans="1:6" s="11" customFormat="1" ht="21.75" x14ac:dyDescent="0.35">
      <c r="A15" s="96" t="s">
        <v>40</v>
      </c>
      <c r="B15" s="28" t="s">
        <v>56</v>
      </c>
      <c r="C15" s="66">
        <v>40</v>
      </c>
      <c r="D15" s="21" t="s">
        <v>55</v>
      </c>
      <c r="E15" s="66">
        <v>1000</v>
      </c>
      <c r="F15" s="22" t="s">
        <v>1</v>
      </c>
    </row>
    <row r="16" spans="1:6" s="11" customFormat="1" ht="21" x14ac:dyDescent="0.35">
      <c r="A16" s="18" t="s">
        <v>40</v>
      </c>
      <c r="B16" s="28" t="s">
        <v>58</v>
      </c>
      <c r="C16" s="78">
        <v>10</v>
      </c>
      <c r="D16" s="21"/>
      <c r="E16" s="20">
        <f>E15/C16</f>
        <v>100</v>
      </c>
      <c r="F16" s="22" t="s">
        <v>1</v>
      </c>
    </row>
    <row r="17" spans="1:6" s="11" customFormat="1" ht="21" x14ac:dyDescent="0.35">
      <c r="A17" s="18"/>
      <c r="B17" s="28" t="s">
        <v>57</v>
      </c>
      <c r="C17" s="67">
        <f>1</f>
        <v>1</v>
      </c>
      <c r="D17" s="21"/>
      <c r="E17" s="67">
        <v>8</v>
      </c>
      <c r="F17" s="22" t="s">
        <v>36</v>
      </c>
    </row>
    <row r="18" spans="1:6" s="11" customFormat="1" ht="21" x14ac:dyDescent="0.35">
      <c r="A18" s="18"/>
      <c r="B18" s="28" t="s">
        <v>61</v>
      </c>
      <c r="C18" s="20">
        <f>C15*POWER(E15,1/3)</f>
        <v>399.99999999999994</v>
      </c>
      <c r="D18" s="21" t="s">
        <v>14</v>
      </c>
      <c r="E18" s="20">
        <f>C17*E17/(E17+2)</f>
        <v>0.8</v>
      </c>
      <c r="F18" s="22" t="s">
        <v>37</v>
      </c>
    </row>
    <row r="19" spans="1:6" s="11" customFormat="1" ht="21" x14ac:dyDescent="0.35">
      <c r="A19" s="27" t="s">
        <v>40</v>
      </c>
      <c r="B19" s="28" t="s">
        <v>62</v>
      </c>
      <c r="C19" s="67">
        <v>0.25</v>
      </c>
      <c r="D19" s="21" t="s">
        <v>36</v>
      </c>
      <c r="E19" s="67">
        <v>1</v>
      </c>
      <c r="F19" s="22" t="s">
        <v>36</v>
      </c>
    </row>
    <row r="20" spans="1:6" ht="21" x14ac:dyDescent="0.35">
      <c r="A20" s="18"/>
      <c r="B20" s="28" t="s">
        <v>63</v>
      </c>
      <c r="C20" s="101">
        <f>E15/C18</f>
        <v>2.5000000000000004</v>
      </c>
      <c r="D20" s="21" t="s">
        <v>3</v>
      </c>
      <c r="E20" s="20">
        <f>SQRT(C20*E17)</f>
        <v>4.4721359549995796</v>
      </c>
      <c r="F20" s="22" t="s">
        <v>2</v>
      </c>
    </row>
    <row r="21" spans="1:6" ht="21" x14ac:dyDescent="0.35">
      <c r="A21" s="18"/>
      <c r="B21" s="28" t="s">
        <v>64</v>
      </c>
      <c r="C21" s="20">
        <f>2*C20/(E20*(1+E19))</f>
        <v>0.55901699437494745</v>
      </c>
      <c r="D21" s="21" t="s">
        <v>2</v>
      </c>
      <c r="E21" s="20">
        <f>C21*E19</f>
        <v>0.55901699437494745</v>
      </c>
      <c r="F21" s="22" t="s">
        <v>2</v>
      </c>
    </row>
    <row r="22" spans="1:6" ht="21" x14ac:dyDescent="0.35">
      <c r="A22" s="18"/>
      <c r="B22" s="28" t="s">
        <v>82</v>
      </c>
      <c r="C22" s="20">
        <f>(C21+E21)/2</f>
        <v>0.55901699437494745</v>
      </c>
      <c r="D22" s="21" t="s">
        <v>2</v>
      </c>
      <c r="E22" s="95">
        <f>0</f>
        <v>0</v>
      </c>
      <c r="F22" s="22" t="s">
        <v>80</v>
      </c>
    </row>
    <row r="23" spans="1:6" ht="21" x14ac:dyDescent="0.35">
      <c r="A23" s="18"/>
      <c r="B23" s="28" t="s">
        <v>81</v>
      </c>
      <c r="C23" s="20">
        <f>(1+3*E19+2*E22*(1+E19)+POWER(E22,2)*(3+E19))/(6*(1+E19))</f>
        <v>0.33333333333333331</v>
      </c>
      <c r="D23" s="21" t="s">
        <v>37</v>
      </c>
      <c r="E23" s="95"/>
      <c r="F23" s="22"/>
    </row>
    <row r="24" spans="1:6" s="9" customFormat="1" ht="21" x14ac:dyDescent="0.35">
      <c r="A24" s="18"/>
      <c r="B24" s="19" t="s">
        <v>41</v>
      </c>
      <c r="C24" s="20"/>
      <c r="D24" s="21"/>
      <c r="E24" s="30"/>
      <c r="F24" s="22"/>
    </row>
    <row r="25" spans="1:6" s="9" customFormat="1" ht="21" x14ac:dyDescent="0.35">
      <c r="A25" s="18"/>
      <c r="B25" s="28" t="s">
        <v>65</v>
      </c>
      <c r="C25" s="99">
        <f>SQRT(2*C33/E31)</f>
        <v>28.813538628606519</v>
      </c>
      <c r="D25" s="21" t="s">
        <v>0</v>
      </c>
      <c r="E25" s="32">
        <f>E16*C25</f>
        <v>2881.353862860652</v>
      </c>
      <c r="F25" s="22" t="s">
        <v>15</v>
      </c>
    </row>
    <row r="26" spans="1:6" s="9" customFormat="1" ht="21.75" x14ac:dyDescent="0.35">
      <c r="A26" s="96" t="s">
        <v>40</v>
      </c>
      <c r="B26" s="28" t="s">
        <v>95</v>
      </c>
      <c r="C26" s="70">
        <v>0.15</v>
      </c>
      <c r="D26" s="21" t="s">
        <v>36</v>
      </c>
      <c r="E26" s="28">
        <f>C26*2</f>
        <v>0.3</v>
      </c>
      <c r="F26" s="21" t="s">
        <v>36</v>
      </c>
    </row>
    <row r="27" spans="1:6" s="9" customFormat="1" ht="21" x14ac:dyDescent="0.35">
      <c r="A27" s="18" t="s">
        <v>12</v>
      </c>
      <c r="B27" s="28" t="s">
        <v>71</v>
      </c>
      <c r="C27" s="66">
        <v>0.82</v>
      </c>
      <c r="D27" s="21" t="s">
        <v>36</v>
      </c>
      <c r="E27" s="79">
        <v>90</v>
      </c>
      <c r="F27" s="22" t="s">
        <v>10</v>
      </c>
    </row>
    <row r="28" spans="1:6" s="9" customFormat="1" ht="21" x14ac:dyDescent="0.35">
      <c r="A28" s="18" t="s">
        <v>6</v>
      </c>
      <c r="B28" s="28" t="s">
        <v>70</v>
      </c>
      <c r="C28" s="65">
        <f>C26*C25/(2*PI()*C22/2)</f>
        <v>2.4610077046975265</v>
      </c>
      <c r="D28" s="21" t="s">
        <v>5</v>
      </c>
      <c r="E28" s="80">
        <f>SIN(E29)</f>
        <v>1</v>
      </c>
      <c r="F28" s="80" t="s">
        <v>73</v>
      </c>
    </row>
    <row r="29" spans="1:6" s="9" customFormat="1" ht="21" x14ac:dyDescent="0.35">
      <c r="A29" s="18"/>
      <c r="B29" s="28" t="s">
        <v>97</v>
      </c>
      <c r="C29" s="65">
        <f>C64</f>
        <v>41.262928911697813</v>
      </c>
      <c r="D29" s="21" t="s">
        <v>10</v>
      </c>
      <c r="E29" s="31">
        <f>E27*PI()/180</f>
        <v>1.5707963267948966</v>
      </c>
      <c r="F29" s="58" t="s">
        <v>47</v>
      </c>
    </row>
    <row r="30" spans="1:6" s="9" customFormat="1" ht="21" x14ac:dyDescent="0.35">
      <c r="A30" s="18"/>
      <c r="B30" s="19" t="s">
        <v>50</v>
      </c>
      <c r="C30" s="36"/>
      <c r="D30" s="21"/>
      <c r="E30" s="20"/>
      <c r="F30" s="22"/>
    </row>
    <row r="31" spans="1:6" s="9" customFormat="1" ht="21" x14ac:dyDescent="0.35">
      <c r="A31" s="18" t="s">
        <v>6</v>
      </c>
      <c r="B31" s="28" t="s">
        <v>60</v>
      </c>
      <c r="C31" s="29">
        <v>1.819E-5</v>
      </c>
      <c r="D31" s="21" t="s">
        <v>8</v>
      </c>
      <c r="E31" s="36">
        <v>1.2044999999999999</v>
      </c>
      <c r="F31" s="22" t="s">
        <v>9</v>
      </c>
    </row>
    <row r="32" spans="1:6" s="9" customFormat="1" ht="21" x14ac:dyDescent="0.35">
      <c r="A32" s="18"/>
      <c r="B32" s="28" t="s">
        <v>68</v>
      </c>
      <c r="C32" s="36">
        <v>9.8059999999999992</v>
      </c>
      <c r="D32" s="21" t="s">
        <v>69</v>
      </c>
      <c r="E32" s="20"/>
      <c r="F32" s="22"/>
    </row>
    <row r="33" spans="1:6" s="9" customFormat="1" ht="21" x14ac:dyDescent="0.35">
      <c r="A33" s="18"/>
      <c r="B33" s="28" t="s">
        <v>66</v>
      </c>
      <c r="C33" s="32">
        <f>E15/(E18*C20)</f>
        <v>499.99999999999989</v>
      </c>
      <c r="D33" s="21" t="s">
        <v>14</v>
      </c>
      <c r="E33" s="77">
        <f>E25/(E15/C32)</f>
        <v>28.254555979211549</v>
      </c>
      <c r="F33" s="22" t="s">
        <v>67</v>
      </c>
    </row>
    <row r="34" spans="1:6" ht="21" x14ac:dyDescent="0.35">
      <c r="A34" s="18"/>
      <c r="B34" s="28" t="s">
        <v>34</v>
      </c>
      <c r="C34" s="69">
        <f>C33*C20</f>
        <v>1250</v>
      </c>
      <c r="D34" s="21" t="s">
        <v>1</v>
      </c>
      <c r="E34" s="69">
        <f>C34*C25</f>
        <v>36016.923285758152</v>
      </c>
      <c r="F34" s="22" t="s">
        <v>15</v>
      </c>
    </row>
    <row r="35" spans="1:6" ht="21" x14ac:dyDescent="0.35">
      <c r="A35" s="18"/>
      <c r="B35" s="19" t="s">
        <v>74</v>
      </c>
      <c r="C35" s="71"/>
      <c r="D35" s="72"/>
      <c r="E35" s="69"/>
      <c r="F35" s="22"/>
    </row>
    <row r="36" spans="1:6" ht="21" x14ac:dyDescent="0.35">
      <c r="A36" s="18"/>
      <c r="B36" s="28" t="s">
        <v>79</v>
      </c>
      <c r="C36" s="81">
        <f>MIN((2-E36-2*SQRT(1-E36))/E36*0.999,C27)</f>
        <v>0.82</v>
      </c>
      <c r="D36" s="21" t="s">
        <v>36</v>
      </c>
      <c r="E36" s="61">
        <f>MAX(POWER(E28,2),0.0001)</f>
        <v>1</v>
      </c>
      <c r="F36" s="94" t="s">
        <v>75</v>
      </c>
    </row>
    <row r="37" spans="1:6" ht="21" x14ac:dyDescent="0.35">
      <c r="A37" s="18"/>
      <c r="B37" s="28" t="s">
        <v>76</v>
      </c>
      <c r="C37" s="38">
        <f>E37/C26</f>
        <v>8.1300813008130088</v>
      </c>
      <c r="D37" s="21" t="s">
        <v>36</v>
      </c>
      <c r="E37" s="61">
        <f>(E28*(1+C36)+SQRT(E36*(1+POWER(C36,2))-2*C36*(2-E36)))/(2*C36)</f>
        <v>1.2195121951219512</v>
      </c>
      <c r="F37" s="22"/>
    </row>
    <row r="38" spans="1:6" ht="21" x14ac:dyDescent="0.35">
      <c r="A38" s="18"/>
      <c r="B38" s="19" t="s">
        <v>4</v>
      </c>
      <c r="C38" s="20"/>
      <c r="D38" s="21"/>
      <c r="E38" s="20"/>
      <c r="F38" s="22"/>
    </row>
    <row r="39" spans="1:6" ht="21" x14ac:dyDescent="0.35">
      <c r="A39" s="18"/>
      <c r="B39" s="28" t="s">
        <v>49</v>
      </c>
      <c r="C39" s="35">
        <f>C26</f>
        <v>0.15</v>
      </c>
      <c r="D39" s="21" t="s">
        <v>6</v>
      </c>
      <c r="E39" s="31">
        <f>ATAN(2*C25*C39)</f>
        <v>1.455621953904721</v>
      </c>
      <c r="F39" s="45" t="s">
        <v>43</v>
      </c>
    </row>
    <row r="40" spans="1:6" ht="21" x14ac:dyDescent="0.35">
      <c r="A40" s="18"/>
      <c r="B40" s="28" t="s">
        <v>48</v>
      </c>
      <c r="C40" s="37">
        <f>C22*C25*E31/C31</f>
        <v>1066585.5950352221</v>
      </c>
      <c r="D40" s="21" t="s">
        <v>37</v>
      </c>
      <c r="E40" s="57">
        <f>E39+C27*PI()/180</f>
        <v>1.4699336537710745</v>
      </c>
      <c r="F40" s="45" t="s">
        <v>44</v>
      </c>
    </row>
    <row r="41" spans="1:6" ht="21" x14ac:dyDescent="0.35">
      <c r="A41" s="18"/>
      <c r="B41" s="19" t="s">
        <v>6</v>
      </c>
      <c r="C41" s="37"/>
      <c r="D41" s="21"/>
      <c r="E41" s="57">
        <f>C37</f>
        <v>8.1300813008130088</v>
      </c>
      <c r="F41" s="45" t="s">
        <v>45</v>
      </c>
    </row>
    <row r="42" spans="1:6" ht="21" x14ac:dyDescent="0.35">
      <c r="A42" s="18"/>
      <c r="B42" s="19" t="s">
        <v>16</v>
      </c>
      <c r="C42" s="39"/>
      <c r="D42" s="40"/>
      <c r="E42" s="41"/>
      <c r="F42" s="42"/>
    </row>
    <row r="43" spans="1:6" ht="21" x14ac:dyDescent="0.35">
      <c r="A43" s="18"/>
      <c r="B43" s="28" t="s">
        <v>42</v>
      </c>
      <c r="C43" s="43"/>
      <c r="D43" s="44"/>
      <c r="E43" s="74" t="str">
        <f>COMPLEX(BESSELJ(C39,0),-BESSELY(C39,0))</f>
        <v>0.994382907761519+1.27077637978886i</v>
      </c>
      <c r="F43" s="45" t="s">
        <v>18</v>
      </c>
    </row>
    <row r="44" spans="1:6" s="9" customFormat="1" ht="21" x14ac:dyDescent="0.35">
      <c r="A44" s="18"/>
      <c r="B44" s="28" t="s">
        <v>17</v>
      </c>
      <c r="C44" s="46" t="str">
        <f>IMDIV(E44,(IMSUM(E44,IMPRODUCT(COMPLEX(0,1),E43))))</f>
        <v>0.772794630468484-0.186455638184398i</v>
      </c>
      <c r="D44" s="47"/>
      <c r="E44" s="33" t="str">
        <f>COMPLEX(BESSELJ(C39,1),-BESSELY(C39,1))</f>
        <v>0.0747892601715685+4.36368346153357i</v>
      </c>
      <c r="F44" s="45" t="s">
        <v>19</v>
      </c>
    </row>
    <row r="45" spans="1:6" ht="21" x14ac:dyDescent="0.35">
      <c r="A45" s="18"/>
      <c r="B45" s="28" t="s">
        <v>20</v>
      </c>
      <c r="C45" s="35">
        <f>IMREAL(C44)</f>
        <v>0.77279463046848396</v>
      </c>
      <c r="D45" s="21"/>
      <c r="E45" s="35">
        <f>IMAGINARY(C44)</f>
        <v>-0.186455638184398</v>
      </c>
      <c r="F45" s="22"/>
    </row>
    <row r="46" spans="1:6" ht="21" x14ac:dyDescent="0.35">
      <c r="A46" s="18"/>
      <c r="B46" s="48" t="s">
        <v>21</v>
      </c>
      <c r="C46" s="33" t="str">
        <f>IMPRODUCT(COMPLEX( 2*PI(),0),IMSUM(IMPRODUCT(COMPLEX( 0,C39),C44),COMPLEX( -0.5*C39^2,0)) )</f>
        <v>0.10504446423638+0.728341780144031i</v>
      </c>
      <c r="D46" s="47"/>
      <c r="E46" s="33">
        <f>IMARGUMENT(C46)</f>
        <v>1.4275598756643497</v>
      </c>
      <c r="F46" s="45"/>
    </row>
    <row r="47" spans="1:6" ht="21" x14ac:dyDescent="0.35">
      <c r="A47" s="18"/>
      <c r="B47" s="48" t="s">
        <v>22</v>
      </c>
      <c r="C47" s="49">
        <f>IMABS(C46)</f>
        <v>0.73587776713941022</v>
      </c>
      <c r="D47" s="50"/>
      <c r="E47" s="51">
        <f>E46*180/PI()</f>
        <v>81.793155877787797</v>
      </c>
      <c r="F47" s="22"/>
    </row>
    <row r="48" spans="1:6" ht="21" x14ac:dyDescent="0.35">
      <c r="A48" s="18"/>
      <c r="B48" s="28" t="s">
        <v>23</v>
      </c>
      <c r="C48" s="33" t="str">
        <f>IMPRODUCT(COMPLEX( 2*PI(),0),IMSUM(IMPRODUCT(COMPLEX( 1,C39),C44),COMPLEX( -0.25*C39^2,0.5*C39)) )</f>
        <v>4.99599924921613+0.0280453519014949i</v>
      </c>
      <c r="D48" s="47"/>
      <c r="E48" s="33">
        <f>IMARGUMENT(C48)</f>
        <v>5.6135031089823793E-3</v>
      </c>
      <c r="F48" s="22"/>
    </row>
    <row r="49" spans="1:6" ht="21" x14ac:dyDescent="0.35">
      <c r="A49" s="18"/>
      <c r="B49" s="28" t="s">
        <v>22</v>
      </c>
      <c r="C49" s="35">
        <f>IMABS(C48)</f>
        <v>4.9960779657578813</v>
      </c>
      <c r="D49" s="21"/>
      <c r="E49" s="20">
        <f>E48*180/PI()</f>
        <v>0.32163003642825655</v>
      </c>
      <c r="F49" s="22"/>
    </row>
    <row r="50" spans="1:6" ht="21" x14ac:dyDescent="0.35">
      <c r="A50" s="18"/>
      <c r="B50" s="28" t="s">
        <v>24</v>
      </c>
      <c r="C50" s="35">
        <f>-2*PI()*(-1/8*C39^2)</f>
        <v>1.7671458676442587E-2</v>
      </c>
      <c r="D50" s="21"/>
      <c r="E50" s="20">
        <v>0</v>
      </c>
      <c r="F50" s="22"/>
    </row>
    <row r="51" spans="1:6" ht="21" x14ac:dyDescent="0.35">
      <c r="A51" s="18"/>
      <c r="B51" s="28" t="s">
        <v>25</v>
      </c>
      <c r="C51" s="52" t="str">
        <f>IMPRODUCT(COMPLEX( -2*PI(),0),COMPLEX( -3/32*C39^2,C39/4))</f>
        <v>0.0132535940073319-0.235619449019235i</v>
      </c>
      <c r="D51" s="47"/>
      <c r="E51" s="33">
        <f>IMARGUMENT(C51)</f>
        <v>-1.5146055405936598</v>
      </c>
      <c r="F51" s="22"/>
    </row>
    <row r="52" spans="1:6" ht="21" x14ac:dyDescent="0.35">
      <c r="A52" s="18"/>
      <c r="B52" s="28" t="s">
        <v>22</v>
      </c>
      <c r="C52" s="35">
        <f>IMABS(C51)</f>
        <v>0.23599191195937005</v>
      </c>
      <c r="D52" s="21"/>
      <c r="E52" s="20">
        <f>E51*180/PI()</f>
        <v>-86.780505103147192</v>
      </c>
      <c r="F52" s="22"/>
    </row>
    <row r="53" spans="1:6" ht="21" x14ac:dyDescent="0.35">
      <c r="A53" s="18"/>
      <c r="B53" s="53" t="s">
        <v>27</v>
      </c>
      <c r="C53" s="52" t="str">
        <f>IMSUM(C48,IMPRODUCT(COMPLEX(-2*(C19-0.25),0),C46))</f>
        <v>4.99599924921613+0.0280453519014949i</v>
      </c>
      <c r="D53" s="47"/>
      <c r="E53" s="33">
        <f>IMARGUMENT(C53)</f>
        <v>5.6135031089823793E-3</v>
      </c>
      <c r="F53" s="22"/>
    </row>
    <row r="54" spans="1:6" ht="21" x14ac:dyDescent="0.35">
      <c r="A54" s="18"/>
      <c r="B54" s="53" t="s">
        <v>22</v>
      </c>
      <c r="C54" s="54">
        <f>IMABS(C53)</f>
        <v>4.9960779657578813</v>
      </c>
      <c r="D54" s="55"/>
      <c r="E54" s="56">
        <f>E53*180/PI()</f>
        <v>0.32163003642825655</v>
      </c>
      <c r="F54" s="22"/>
    </row>
    <row r="55" spans="1:6" ht="21" x14ac:dyDescent="0.35">
      <c r="A55" s="18"/>
      <c r="B55" s="48" t="s">
        <v>28</v>
      </c>
      <c r="C55" s="52" t="str">
        <f>IMSUM(C50,IMPRODUCT(COMPLEX((C19-0.25),0),C46))</f>
        <v>0.0176714586764426</v>
      </c>
      <c r="D55" s="47"/>
      <c r="E55" s="33">
        <f>IMARGUMENT(C55)</f>
        <v>0</v>
      </c>
      <c r="F55" s="22"/>
    </row>
    <row r="56" spans="1:6" ht="21" x14ac:dyDescent="0.35">
      <c r="A56" s="18"/>
      <c r="B56" s="48" t="s">
        <v>22</v>
      </c>
      <c r="C56" s="49">
        <f>IMABS(C55)</f>
        <v>1.7671458676442601E-2</v>
      </c>
      <c r="D56" s="50"/>
      <c r="E56" s="51">
        <f>E55*180/PI()</f>
        <v>0</v>
      </c>
      <c r="F56" s="22"/>
    </row>
    <row r="57" spans="1:6" ht="21" x14ac:dyDescent="0.35">
      <c r="A57" s="18"/>
      <c r="B57" s="53" t="s">
        <v>29</v>
      </c>
      <c r="C57" s="35" t="str">
        <f>IMSUM(C51,IMPRODUCT(COMPLEX(-2*(C19-0.25),0),C50),IMPRODUCT(COMPLEX(C19-0.25,0),C48),IMPRODUCT(COMPLEX(-2*(C19-0.25)^2,0),C46))</f>
        <v>0.0132535940073319-0.235619449019235i</v>
      </c>
      <c r="D57" s="21"/>
      <c r="E57" s="20">
        <f>IMARGUMENT(C57)</f>
        <v>-1.5146055405936598</v>
      </c>
      <c r="F57" s="22"/>
    </row>
    <row r="58" spans="1:6" ht="21" x14ac:dyDescent="0.35">
      <c r="A58" s="18"/>
      <c r="B58" s="53" t="s">
        <v>22</v>
      </c>
      <c r="C58" s="54">
        <f>IMABS(C57)</f>
        <v>0.23599191195937005</v>
      </c>
      <c r="D58" s="55"/>
      <c r="E58" s="56">
        <f>E57*180/PI()</f>
        <v>-86.780505103147192</v>
      </c>
      <c r="F58" s="22"/>
    </row>
    <row r="59" spans="1:6" x14ac:dyDescent="0.2">
      <c r="A59" s="23"/>
      <c r="B59" s="17"/>
      <c r="C59" s="24"/>
      <c r="D59" s="25"/>
      <c r="E59" s="24"/>
      <c r="F59" s="26"/>
    </row>
    <row r="60" spans="1:6" ht="21" x14ac:dyDescent="0.35">
      <c r="A60" s="18"/>
      <c r="B60" s="19" t="s">
        <v>35</v>
      </c>
      <c r="C60" s="20"/>
      <c r="D60" s="21"/>
      <c r="E60" s="52" t="s">
        <v>6</v>
      </c>
      <c r="F60" s="45" t="s">
        <v>6</v>
      </c>
    </row>
    <row r="61" spans="1:6" ht="21" x14ac:dyDescent="0.35">
      <c r="A61" s="18"/>
      <c r="B61" s="28" t="s">
        <v>13</v>
      </c>
      <c r="C61" s="20">
        <f>SQRT(E25/(-E67*C23*E34))</f>
        <v>0.72017396852548732</v>
      </c>
      <c r="D61" s="21" t="s">
        <v>83</v>
      </c>
      <c r="E61" s="35">
        <f>E41</f>
        <v>8.1300813008130088</v>
      </c>
      <c r="F61" s="22" t="s">
        <v>6</v>
      </c>
    </row>
    <row r="62" spans="1:6" ht="21" x14ac:dyDescent="0.35">
      <c r="A62" s="18"/>
      <c r="B62" s="28" t="s">
        <v>86</v>
      </c>
      <c r="C62" s="20">
        <f>E62*E21/2</f>
        <v>1.6365426313503901</v>
      </c>
      <c r="D62" s="21" t="s">
        <v>2</v>
      </c>
      <c r="E62" s="35">
        <f>E61*C61</f>
        <v>5.8550729148413607</v>
      </c>
      <c r="F62" s="22" t="s">
        <v>85</v>
      </c>
    </row>
    <row r="63" spans="1:6" ht="21" x14ac:dyDescent="0.35">
      <c r="A63" s="18"/>
      <c r="B63" s="28" t="s">
        <v>87</v>
      </c>
      <c r="C63" s="20">
        <f>E63*180/PI()</f>
        <v>41.291574031429697</v>
      </c>
      <c r="D63" s="21" t="s">
        <v>10</v>
      </c>
      <c r="E63" s="35">
        <f>ATAN(E62*C39)</f>
        <v>0.72067392017943677</v>
      </c>
      <c r="F63" s="22" t="s">
        <v>46</v>
      </c>
    </row>
    <row r="64" spans="1:6" ht="21" x14ac:dyDescent="0.35">
      <c r="A64" s="18"/>
      <c r="B64" s="28" t="s">
        <v>84</v>
      </c>
      <c r="C64" s="20">
        <f>C61*180/PI()</f>
        <v>41.262928911697813</v>
      </c>
      <c r="D64" s="21" t="s">
        <v>10</v>
      </c>
      <c r="E64" s="35"/>
      <c r="F64" s="22"/>
    </row>
    <row r="65" spans="1:7" ht="21" x14ac:dyDescent="0.35">
      <c r="A65" s="18"/>
      <c r="B65" s="28" t="s">
        <v>88</v>
      </c>
      <c r="C65" s="20">
        <f>C64-C63</f>
        <v>-2.8645119731883995E-2</v>
      </c>
      <c r="D65" s="21" t="s">
        <v>10</v>
      </c>
      <c r="E65" s="52">
        <f>0.5*C26*C37*(C37*C47*SIN(E46)+C54*SIN(E53-E29))</f>
        <v>0.5643162427644608</v>
      </c>
      <c r="F65" s="45" t="s">
        <v>30</v>
      </c>
    </row>
    <row r="66" spans="1:7" ht="21" x14ac:dyDescent="0.35">
      <c r="A66" s="18"/>
      <c r="B66" s="28" t="s">
        <v>90</v>
      </c>
      <c r="C66" s="95">
        <f>E67*C23*C61^2*E34</f>
        <v>-2881.3538628606511</v>
      </c>
      <c r="D66" s="21" t="s">
        <v>15</v>
      </c>
      <c r="E66" s="52">
        <f>-C26*(C37*C56*SIN(E55+E29)+C58*SIN(E57))</f>
        <v>1.3792357991369882E-2</v>
      </c>
      <c r="F66" s="45" t="s">
        <v>31</v>
      </c>
    </row>
    <row r="67" spans="1:7" ht="21" x14ac:dyDescent="0.35">
      <c r="A67" s="18"/>
      <c r="B67" s="28" t="s">
        <v>33</v>
      </c>
      <c r="C67" s="20">
        <f>-E67/(E65+E66+0.00001)</f>
        <v>0.80042281715529262</v>
      </c>
      <c r="D67" s="21" t="s">
        <v>36</v>
      </c>
      <c r="E67" s="52">
        <f>0.5*(C37*C47*COS(E46+E29)+C54*COS(E53))</f>
        <v>-0.46273931906685783</v>
      </c>
      <c r="F67" s="45" t="s">
        <v>32</v>
      </c>
    </row>
    <row r="68" spans="1:7" ht="21" x14ac:dyDescent="0.35">
      <c r="A68" s="18"/>
      <c r="B68" s="28" t="s">
        <v>96</v>
      </c>
      <c r="C68" s="20">
        <f>(E65+E66)*C23*C61^2*E34</f>
        <v>3599.7274951690647</v>
      </c>
      <c r="D68" s="21" t="s">
        <v>15</v>
      </c>
      <c r="E68" s="52"/>
      <c r="F68" s="45"/>
    </row>
    <row r="69" spans="1:7" ht="21" x14ac:dyDescent="0.35">
      <c r="A69" s="18"/>
      <c r="B69" s="28" t="s">
        <v>38</v>
      </c>
      <c r="C69" s="35">
        <f>-PI()*(C65*PI()/180)^2*(C45^2+E45^2)</f>
        <v>-4.962577858952525E-7</v>
      </c>
      <c r="D69" s="21"/>
      <c r="E69" s="35" t="s">
        <v>6</v>
      </c>
      <c r="F69" s="22"/>
    </row>
    <row r="70" spans="1:7" ht="21" x14ac:dyDescent="0.35">
      <c r="A70" s="18"/>
      <c r="B70" s="28" t="s">
        <v>89</v>
      </c>
      <c r="C70" s="34">
        <f>C69*C23*C34</f>
        <v>-2.0677407745635522E-4</v>
      </c>
      <c r="D70" s="21" t="s">
        <v>1</v>
      </c>
      <c r="E70" s="95">
        <f>C70*C25</f>
        <v>-5.9578928681831679E-3</v>
      </c>
      <c r="F70" s="22" t="s">
        <v>15</v>
      </c>
    </row>
    <row r="71" spans="1:7" ht="21" x14ac:dyDescent="0.35">
      <c r="A71" s="3"/>
      <c r="B71" s="64"/>
      <c r="C71" s="5"/>
      <c r="E71" s="1"/>
      <c r="F71" s="4"/>
    </row>
    <row r="72" spans="1:7" ht="21" x14ac:dyDescent="0.35">
      <c r="A72" s="3"/>
      <c r="B72" s="1"/>
      <c r="C72" s="6"/>
      <c r="E72" s="1"/>
      <c r="F72" s="4"/>
    </row>
    <row r="73" spans="1:7" s="9" customFormat="1" ht="21" x14ac:dyDescent="0.35">
      <c r="A73" s="3"/>
      <c r="B73" s="1"/>
      <c r="C73" s="6"/>
      <c r="D73"/>
      <c r="E73" s="1"/>
      <c r="F73" s="7"/>
    </row>
    <row r="74" spans="1:7" s="12" customFormat="1" ht="20.25" x14ac:dyDescent="0.3">
      <c r="A74" s="2"/>
      <c r="B74"/>
      <c r="C74" s="6"/>
      <c r="D74"/>
      <c r="E74" s="1"/>
      <c r="F74" s="7"/>
    </row>
    <row r="75" spans="1:7" ht="18" customHeight="1" x14ac:dyDescent="0.2">
      <c r="A75" s="2"/>
      <c r="C75" s="6"/>
      <c r="E75" s="1"/>
      <c r="F75" s="7"/>
      <c r="G75" s="8"/>
    </row>
    <row r="76" spans="1:7" ht="18" customHeight="1" x14ac:dyDescent="0.2">
      <c r="A76" s="2"/>
      <c r="C76" s="6"/>
      <c r="E76" s="1"/>
      <c r="F76" s="1"/>
      <c r="G76" s="8"/>
    </row>
    <row r="77" spans="1:7" ht="18" customHeight="1" x14ac:dyDescent="0.2">
      <c r="A77" s="2"/>
      <c r="C77" s="6"/>
      <c r="E77" s="1"/>
      <c r="F77" s="1"/>
    </row>
    <row r="78" spans="1:7" ht="18" customHeight="1" x14ac:dyDescent="0.2">
      <c r="A78" s="2"/>
      <c r="C78" s="6"/>
      <c r="E78" s="1"/>
      <c r="F78" s="1"/>
    </row>
    <row r="79" spans="1:7" ht="18" customHeight="1" x14ac:dyDescent="0.2">
      <c r="A79" s="2"/>
      <c r="E79" s="1"/>
      <c r="F79" s="1"/>
    </row>
    <row r="80" spans="1:7" ht="18" customHeight="1" x14ac:dyDescent="0.2">
      <c r="A80" s="2"/>
      <c r="E80" s="1"/>
      <c r="F80" s="1"/>
    </row>
    <row r="81" spans="1:6" ht="18" customHeight="1" x14ac:dyDescent="0.2">
      <c r="A81" s="2"/>
      <c r="E81" s="1"/>
      <c r="F81" s="1"/>
    </row>
    <row r="82" spans="1:6" ht="18" customHeight="1" x14ac:dyDescent="0.2">
      <c r="A82" s="2"/>
      <c r="E82" s="1"/>
      <c r="F82" s="1"/>
    </row>
    <row r="83" spans="1:6" ht="18" customHeight="1" x14ac:dyDescent="0.2">
      <c r="A83" s="2"/>
      <c r="E83" s="1"/>
      <c r="F83" s="1"/>
    </row>
    <row r="84" spans="1:6" ht="18" customHeight="1" x14ac:dyDescent="0.2">
      <c r="A84" s="2"/>
      <c r="E84" s="1"/>
      <c r="F84" s="1"/>
    </row>
    <row r="85" spans="1:6" ht="18" customHeight="1" x14ac:dyDescent="0.2">
      <c r="A85" s="2"/>
      <c r="E85" s="1"/>
      <c r="F85" s="1"/>
    </row>
    <row r="86" spans="1:6" ht="18" customHeight="1" x14ac:dyDescent="0.2">
      <c r="A86" s="2"/>
      <c r="E86" s="1"/>
      <c r="F86" s="1"/>
    </row>
    <row r="87" spans="1:6" ht="18" customHeight="1" x14ac:dyDescent="0.2">
      <c r="A87" s="2"/>
      <c r="E87" s="1"/>
      <c r="F87" s="1"/>
    </row>
    <row r="88" spans="1:6" ht="18" customHeight="1" x14ac:dyDescent="0.2">
      <c r="A88" s="2"/>
      <c r="E88" s="1"/>
      <c r="F88" s="1"/>
    </row>
    <row r="89" spans="1:6" ht="18" customHeight="1" x14ac:dyDescent="0.2">
      <c r="A89" s="2"/>
      <c r="E89" s="1"/>
      <c r="F89" s="1"/>
    </row>
    <row r="90" spans="1:6" ht="18" customHeight="1" x14ac:dyDescent="0.2">
      <c r="A90" s="2"/>
      <c r="E90" s="1"/>
      <c r="F90" s="1"/>
    </row>
    <row r="91" spans="1:6" s="9" customFormat="1" ht="15" x14ac:dyDescent="0.2">
      <c r="A91" s="2"/>
      <c r="B91"/>
      <c r="C91"/>
      <c r="D91"/>
      <c r="E91" s="1"/>
      <c r="F91" s="1"/>
    </row>
    <row r="92" spans="1:6" ht="15" x14ac:dyDescent="0.2">
      <c r="A92" s="2"/>
      <c r="E92" s="1"/>
      <c r="F92" s="1"/>
    </row>
    <row r="93" spans="1:6" ht="15" x14ac:dyDescent="0.2">
      <c r="A93" s="2"/>
      <c r="E93" s="1"/>
      <c r="F93" s="1"/>
    </row>
    <row r="94" spans="1:6" ht="15" x14ac:dyDescent="0.2">
      <c r="A94" s="2"/>
      <c r="E94" s="1"/>
      <c r="F94" s="1"/>
    </row>
    <row r="95" spans="1:6" ht="15" x14ac:dyDescent="0.2">
      <c r="A95" s="2"/>
      <c r="E95" s="1"/>
      <c r="F95" s="1"/>
    </row>
    <row r="96" spans="1:6" ht="15" x14ac:dyDescent="0.2">
      <c r="A96" s="2"/>
      <c r="E96" s="1"/>
      <c r="F96" s="1"/>
    </row>
    <row r="97" spans="1:7" ht="15" x14ac:dyDescent="0.2">
      <c r="A97" s="2"/>
      <c r="E97" s="1"/>
      <c r="F97" s="1"/>
    </row>
    <row r="98" spans="1:7" ht="15" x14ac:dyDescent="0.2">
      <c r="A98" s="2"/>
      <c r="E98" s="1"/>
      <c r="F98" s="1"/>
    </row>
    <row r="99" spans="1:7" s="9" customFormat="1" ht="15" x14ac:dyDescent="0.2">
      <c r="A99" s="2"/>
      <c r="B99"/>
      <c r="C99"/>
      <c r="D99"/>
      <c r="E99" s="1"/>
      <c r="F99" s="1"/>
    </row>
    <row r="100" spans="1:7" ht="15" x14ac:dyDescent="0.2">
      <c r="A100" s="2"/>
      <c r="E100" s="1"/>
      <c r="F100" s="1"/>
      <c r="G100" t="s">
        <v>6</v>
      </c>
    </row>
    <row r="101" spans="1:7" ht="15" x14ac:dyDescent="0.2">
      <c r="A101" s="2"/>
      <c r="E101" s="1"/>
      <c r="F101" s="1"/>
    </row>
    <row r="102" spans="1:7" ht="15" x14ac:dyDescent="0.2">
      <c r="A102" s="2"/>
      <c r="E102" s="1"/>
      <c r="F102" s="1"/>
    </row>
    <row r="103" spans="1:7" ht="15" x14ac:dyDescent="0.2">
      <c r="A103" s="2"/>
      <c r="E103" s="1"/>
      <c r="F103" s="1"/>
    </row>
    <row r="104" spans="1:7" ht="15" x14ac:dyDescent="0.2">
      <c r="A104" s="2"/>
      <c r="E104" s="1"/>
      <c r="F104" s="1"/>
    </row>
    <row r="105" spans="1:7" s="60" customFormat="1" ht="15" x14ac:dyDescent="0.2">
      <c r="A105" s="2"/>
      <c r="B105"/>
      <c r="C105"/>
      <c r="D105"/>
      <c r="E105" s="1"/>
      <c r="F105" s="1"/>
    </row>
    <row r="106" spans="1:7" ht="15" x14ac:dyDescent="0.2">
      <c r="E106" s="1"/>
      <c r="F106" s="1"/>
    </row>
    <row r="107" spans="1:7" ht="15" x14ac:dyDescent="0.2">
      <c r="E107" s="1"/>
      <c r="F107" s="1"/>
    </row>
    <row r="108" spans="1:7" ht="15" x14ac:dyDescent="0.2">
      <c r="E108" s="1"/>
      <c r="F108" s="1"/>
    </row>
    <row r="109" spans="1:7" ht="15" x14ac:dyDescent="0.2">
      <c r="E109" s="1"/>
      <c r="F109" s="1"/>
    </row>
    <row r="110" spans="1:7" ht="15" x14ac:dyDescent="0.2">
      <c r="E110" s="1"/>
      <c r="F110" s="1"/>
    </row>
    <row r="111" spans="1:7" ht="15" x14ac:dyDescent="0.2">
      <c r="E111" s="1"/>
      <c r="F111" s="1"/>
    </row>
    <row r="112" spans="1:7" ht="15" x14ac:dyDescent="0.2">
      <c r="E112" s="1"/>
      <c r="F112" s="1"/>
    </row>
    <row r="113" spans="5:6" ht="15" x14ac:dyDescent="0.2">
      <c r="E113" s="1"/>
      <c r="F113" s="1"/>
    </row>
    <row r="114" spans="5:6" ht="15" x14ac:dyDescent="0.2">
      <c r="E114" s="1"/>
      <c r="F114" s="1"/>
    </row>
    <row r="115" spans="5:6" ht="15" x14ac:dyDescent="0.2">
      <c r="E115" s="1"/>
      <c r="F115" s="1"/>
    </row>
    <row r="116" spans="5:6" ht="15" x14ac:dyDescent="0.2">
      <c r="E116" s="1"/>
      <c r="F116" s="1"/>
    </row>
    <row r="117" spans="5:6" ht="15" x14ac:dyDescent="0.2">
      <c r="E117" s="1"/>
      <c r="F117" s="1"/>
    </row>
    <row r="118" spans="5:6" ht="15" x14ac:dyDescent="0.2">
      <c r="E118" s="1"/>
      <c r="F118" s="1"/>
    </row>
    <row r="119" spans="5:6" ht="15" x14ac:dyDescent="0.2">
      <c r="E119" s="1"/>
      <c r="F119" s="1"/>
    </row>
    <row r="120" spans="5:6" ht="15" x14ac:dyDescent="0.2">
      <c r="E120" s="1"/>
      <c r="F120" s="1"/>
    </row>
    <row r="121" spans="5:6" ht="15" x14ac:dyDescent="0.2">
      <c r="E121" s="1"/>
      <c r="F121" s="1"/>
    </row>
    <row r="122" spans="5:6" ht="15" x14ac:dyDescent="0.2">
      <c r="E122" s="1"/>
      <c r="F122" s="1"/>
    </row>
    <row r="123" spans="5:6" ht="15" x14ac:dyDescent="0.2">
      <c r="E123" s="1"/>
      <c r="F123" s="1"/>
    </row>
    <row r="124" spans="5:6" ht="15" x14ac:dyDescent="0.2">
      <c r="E124" s="1"/>
      <c r="F124" s="1"/>
    </row>
    <row r="125" spans="5:6" ht="15" x14ac:dyDescent="0.2">
      <c r="E125" s="1"/>
      <c r="F125" s="1"/>
    </row>
    <row r="126" spans="5:6" ht="15" x14ac:dyDescent="0.2">
      <c r="E126" s="1"/>
      <c r="F126" s="1"/>
    </row>
    <row r="127" spans="5:6" ht="15" x14ac:dyDescent="0.2">
      <c r="E127" s="1"/>
      <c r="F127" s="1"/>
    </row>
    <row r="128" spans="5:6" ht="15" x14ac:dyDescent="0.2">
      <c r="E128" s="1"/>
      <c r="F128" s="1"/>
    </row>
    <row r="129" spans="5:6" ht="15" x14ac:dyDescent="0.2">
      <c r="E129" s="1"/>
      <c r="F129" s="1"/>
    </row>
    <row r="130" spans="5:6" ht="15" x14ac:dyDescent="0.2">
      <c r="E130" s="1"/>
      <c r="F130" s="1"/>
    </row>
    <row r="131" spans="5:6" ht="15" x14ac:dyDescent="0.2">
      <c r="E131" s="1"/>
      <c r="F131" s="1"/>
    </row>
    <row r="132" spans="5:6" ht="15" x14ac:dyDescent="0.2">
      <c r="E132" s="1"/>
      <c r="F132" s="1"/>
    </row>
    <row r="133" spans="5:6" ht="15" x14ac:dyDescent="0.2">
      <c r="E133" s="1"/>
      <c r="F133" s="1"/>
    </row>
    <row r="134" spans="5:6" ht="15" x14ac:dyDescent="0.2">
      <c r="E134" s="1"/>
      <c r="F134" s="1"/>
    </row>
    <row r="135" spans="5:6" ht="15" x14ac:dyDescent="0.2">
      <c r="E135" s="1"/>
      <c r="F135" s="1"/>
    </row>
    <row r="136" spans="5:6" ht="15" x14ac:dyDescent="0.2">
      <c r="E136" s="1"/>
      <c r="F136" s="1"/>
    </row>
    <row r="137" spans="5:6" ht="15" x14ac:dyDescent="0.2">
      <c r="E137" s="1"/>
      <c r="F137" s="1"/>
    </row>
    <row r="138" spans="5:6" ht="15" x14ac:dyDescent="0.2">
      <c r="E138" s="1"/>
      <c r="F138" s="1"/>
    </row>
    <row r="139" spans="5:6" ht="15" x14ac:dyDescent="0.2">
      <c r="E139" s="1"/>
      <c r="F139" s="1"/>
    </row>
    <row r="140" spans="5:6" ht="15" x14ac:dyDescent="0.2">
      <c r="E140" s="1"/>
      <c r="F140" s="1"/>
    </row>
    <row r="141" spans="5:6" ht="15" x14ac:dyDescent="0.2">
      <c r="E141" s="1"/>
      <c r="F141" s="1"/>
    </row>
    <row r="142" spans="5:6" ht="15" x14ac:dyDescent="0.2">
      <c r="E142" s="1"/>
      <c r="F142" s="1"/>
    </row>
    <row r="143" spans="5:6" ht="15" x14ac:dyDescent="0.2">
      <c r="E143" s="1"/>
      <c r="F143" s="1"/>
    </row>
    <row r="144" spans="5:6" ht="15" x14ac:dyDescent="0.2">
      <c r="E144" s="1"/>
      <c r="F144" s="1"/>
    </row>
    <row r="145" spans="5:6" ht="15" x14ac:dyDescent="0.2">
      <c r="E145" s="1"/>
      <c r="F145" s="1"/>
    </row>
    <row r="146" spans="5:6" ht="15" x14ac:dyDescent="0.2">
      <c r="E146" s="1"/>
      <c r="F146" s="1"/>
    </row>
    <row r="147" spans="5:6" ht="15" x14ac:dyDescent="0.2">
      <c r="E147" s="1"/>
      <c r="F147" s="1"/>
    </row>
    <row r="148" spans="5:6" ht="15" x14ac:dyDescent="0.2">
      <c r="E148" s="1"/>
      <c r="F148" s="1"/>
    </row>
    <row r="149" spans="5:6" ht="15" x14ac:dyDescent="0.2">
      <c r="E149" s="1"/>
      <c r="F149" s="1"/>
    </row>
    <row r="150" spans="5:6" ht="15" x14ac:dyDescent="0.2">
      <c r="E150" s="1"/>
      <c r="F150" s="1"/>
    </row>
    <row r="151" spans="5:6" ht="15" x14ac:dyDescent="0.2">
      <c r="E151" s="1"/>
      <c r="F151" s="1"/>
    </row>
    <row r="152" spans="5:6" ht="15" x14ac:dyDescent="0.2">
      <c r="E152" s="1"/>
      <c r="F152" s="1"/>
    </row>
    <row r="153" spans="5:6" ht="15" x14ac:dyDescent="0.2">
      <c r="E153" s="1"/>
      <c r="F153" s="1"/>
    </row>
    <row r="154" spans="5:6" ht="15" x14ac:dyDescent="0.2">
      <c r="E154" s="1"/>
      <c r="F154" s="1"/>
    </row>
  </sheetData>
  <conditionalFormatting sqref="C7:C10">
    <cfRule type="cellIs" dxfId="4" priority="2" stopIfTrue="1" operator="greaterThan">
      <formula>150</formula>
    </cfRule>
  </conditionalFormatting>
  <conditionalFormatting sqref="C27">
    <cfRule type="cellIs" dxfId="3" priority="5" stopIfTrue="1" operator="greaterThan">
      <formula>0.95</formula>
    </cfRule>
  </conditionalFormatting>
  <conditionalFormatting sqref="C29">
    <cfRule type="cellIs" dxfId="2" priority="4" stopIfTrue="1" operator="greaterThan">
      <formula>40</formula>
    </cfRule>
  </conditionalFormatting>
  <conditionalFormatting sqref="C65:C66 C69">
    <cfRule type="cellIs" dxfId="1" priority="1" stopIfTrue="1" operator="greaterThan">
      <formula>15</formula>
    </cfRule>
  </conditionalFormatting>
  <conditionalFormatting sqref="C67:C68">
    <cfRule type="cellIs" dxfId="0" priority="3" stopIfTrue="1" operator="lessThanOrEqual">
      <formula>"c21"</formula>
    </cfRule>
  </conditionalFormatting>
  <pageMargins left="0.6692913385826772" right="0.47244094488188981" top="0.98425196850393704" bottom="0.98425196850393704" header="0.51181102362204722" footer="0.51181102362204722"/>
  <pageSetup paperSize="9" scale="91" orientation="portrait" horizontalDpi="4294967294" r:id="rId1"/>
  <headerFooter alignWithMargins="0">
    <oddHeader>&amp;L&amp;"Arial,Fett" ANIPROP GbR&amp;Cnatrs03_modell_send.xls&amp;RSeite &amp;P</oddHeader>
    <oddFooter>&amp;C &amp;RSeite &amp;P</oddFoot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Eckdaten für Hydrokraftwerk</dc:title>
  <dc:subject>Leistungsberechnung, Platte 2D/3D</dc:subject>
  <dc:creator>Dr. W. Send</dc:creator>
  <cp:lastModifiedBy>Wolfgang Send</cp:lastModifiedBy>
  <cp:lastPrinted>2002-11-07T15:28:55Z</cp:lastPrinted>
  <dcterms:created xsi:type="dcterms:W3CDTF">1999-12-18T13:24:17Z</dcterms:created>
  <dcterms:modified xsi:type="dcterms:W3CDTF">2024-09-24T11:22:20Z</dcterms:modified>
</cp:coreProperties>
</file>